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<sst xmlns="http://schemas.openxmlformats.org/spreadsheetml/2006/main" count="709" uniqueCount="40">
  <si>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</si>
  <si>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</si>
  <si>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</si>
  <si>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</si>
  <si>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</si>
  <si>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диапазон напряжения НН (население без плит)</t>
  </si>
  <si>
    <t>диапазон напряжения НН (население с плитами)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</si>
  <si>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</si>
  <si>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</si>
  <si>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</si>
  <si>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</si>
  <si>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</si>
  <si>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Потери электроэнергии в сетях МУП "КГЭС"</t>
  </si>
  <si>
    <t>Генераторное напряжение</t>
  </si>
  <si>
    <t>Потери электроэнергии в сетях ОАО "Апатит"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</si>
  <si>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</si>
  <si>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</si>
  <si>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</si>
  <si>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</si>
  <si>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</si>
  <si>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</si>
  <si>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</si>
  <si>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 Отпуск электроэнергии за февраль</t>
  </si>
  <si>
    <t>1.1. Отпуск электроэнергии через сети  филиала ОАО "МРСК Северо-Запада" "Колэнерго" ( для ОАО "Апатит")</t>
  </si>
  <si>
    <t>Отчет об объеме фактического полезного отпуска электрической энергии (мощности) потребителям</t>
  </si>
  <si>
    <t>1.2. Отпуск электроэнергии через сети  ОАО "Апатит" ( для стор. потребителей, без КГЭС )</t>
  </si>
  <si>
    <t xml:space="preserve">1.5. Отпуск электроэнергии через сети филиала ОАО "МРСК Северо-Запада" "Колэнерго" </t>
  </si>
  <si>
    <t>1.6. Отпуск электроэнергии через сети филиала ПАО "МРСК Волги"</t>
  </si>
  <si>
    <t xml:space="preserve">                                                           </t>
  </si>
  <si>
    <t xml:space="preserve">                        </t>
  </si>
  <si>
    <t>1. Отпуск электроэнергии за март</t>
  </si>
  <si>
    <t>1. Отпуск электроэнергии за апрель</t>
  </si>
  <si>
    <t>1. Отпуск электроэнергии за май</t>
  </si>
  <si>
    <t>1. Отпуск электроэнергии за июнь</t>
  </si>
  <si>
    <t>1. Отпуск электроэнергии за июль</t>
  </si>
  <si>
    <t>1. Отпуск электроэнергии за август</t>
  </si>
  <si>
    <t>1. Отпуск электроэнергии за сентябрь</t>
  </si>
  <si>
    <t>1. Отпуск электроэнергии за октябрь</t>
  </si>
  <si>
    <t>1. Отпуск электроэнергии за ноябрь</t>
  </si>
  <si>
    <t>1. Отпуск электроэнергии за декабрь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</si>
</sst>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.00&quot;р.&quot;"/>
    <numFmt numFmtId="195" formatCode="#,##0.0"/>
    <numFmt numFmtId="196" formatCode="#,##0.000"/>
    <numFmt numFmtId="197" formatCode="#,##0.0000"/>
    <numFmt numFmtId="198" formatCode="#,##0&quot;р.&quot;"/>
    <numFmt numFmtId="199" formatCode="#,##0.00000"/>
    <numFmt numFmtId="200" formatCode="#,##0.000000"/>
    <numFmt numFmtId="201" formatCode="0.0"/>
    <numFmt numFmtId="202" formatCode="#,##0.000000&quot;р.&quot;"/>
    <numFmt numFmtId="203" formatCode="[$-F800]dddd\,\ mmmm\ dd\,\ yyyy"/>
    <numFmt numFmtId="204" formatCode="_(* #,##0_);_(* \(#,##0\);_(* &quot;-&quot;??_);_(@_)"/>
    <numFmt numFmtId="205" formatCode="0.0000000000"/>
    <numFmt numFmtId="206" formatCode="0.000000000"/>
    <numFmt numFmtId="207" formatCode="_-* #,##0.00[$€-1]_-;\-* #,##0.00[$€-1]_-;_-* &quot;-&quot;??[$€-1]_-"/>
    <numFmt numFmtId="208" formatCode="General_)"/>
  </numFmts>
  <fonts count="6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16" fillId="0" borderId="0" applyFont="0" applyFill="0" applyBorder="0" applyAlignment="0" applyProtection="0"/>
    <xf numFmtId="207" fontId="17" fillId="0" borderId="0" applyFont="0" applyFill="0" applyBorder="0" applyAlignment="0" applyProtection="0"/>
    <xf numFmtId="49" fontId="18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208" fontId="15" fillId="0" borderId="1">
      <alignment/>
      <protection locked="0"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7" applyBorder="0">
      <alignment horizontal="center" vertical="center" wrapText="1"/>
      <protection/>
    </xf>
    <xf numFmtId="208" fontId="22" fillId="28" borderId="1">
      <alignment/>
      <protection/>
    </xf>
    <xf numFmtId="4" fontId="18" fillId="29" borderId="8" applyBorder="0">
      <alignment horizontal="right"/>
      <protection/>
    </xf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23" fillId="31" borderId="0" applyFill="0">
      <alignment wrapText="1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49" fontId="23" fillId="0" borderId="0">
      <alignment horizontal="center"/>
      <protection/>
    </xf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4" fontId="18" fillId="31" borderId="0" applyFont="0" applyBorder="0">
      <alignment horizontal="right"/>
      <protection/>
    </xf>
    <xf numFmtId="4" fontId="18" fillId="31" borderId="13" applyBorder="0">
      <alignment horizontal="right"/>
      <protection/>
    </xf>
    <xf numFmtId="4" fontId="18" fillId="35" borderId="14" applyBorder="0">
      <alignment horizontal="right"/>
      <protection/>
    </xf>
    <xf numFmtId="0" fontId="56" fillId="36" borderId="0" applyNumberFormat="0" applyBorder="0" applyAlignment="0" applyProtection="0"/>
    <xf numFmtId="0" fontId="9" fillId="0" borderId="15" applyNumberFormat="0" applyFill="0" applyAlignment="0" applyProtection="0"/>
    <xf numFmtId="0" fontId="8" fillId="37" borderId="16" applyNumberFormat="0" applyAlignment="0" applyProtection="0"/>
    <xf numFmtId="0" fontId="7" fillId="38" borderId="0" applyNumberFormat="0" applyBorder="0" applyAlignment="0" applyProtection="0"/>
    <xf numFmtId="0" fontId="6" fillId="39" borderId="17" applyNumberFormat="0" applyFont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1" fillId="0" borderId="18" applyNumberFormat="0" applyFill="0" applyAlignment="0" applyProtection="0"/>
    <xf numFmtId="0" fontId="10" fillId="40" borderId="19" applyNumberFormat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20" xfId="82" applyFont="1" applyBorder="1">
      <alignment/>
      <protection/>
    </xf>
    <xf numFmtId="0" fontId="5" fillId="0" borderId="0" xfId="82" applyFont="1" applyBorder="1">
      <alignment/>
      <protection/>
    </xf>
    <xf numFmtId="0" fontId="4" fillId="0" borderId="0" xfId="71" applyFont="1">
      <alignment/>
      <protection/>
    </xf>
    <xf numFmtId="0" fontId="4" fillId="0" borderId="0" xfId="82" applyFont="1">
      <alignment/>
      <protection/>
    </xf>
    <xf numFmtId="0" fontId="5" fillId="0" borderId="0" xfId="82" applyFont="1">
      <alignment/>
      <protection/>
    </xf>
    <xf numFmtId="3" fontId="4" fillId="0" borderId="0" xfId="71" applyNumberFormat="1" applyFont="1">
      <alignment/>
      <protection/>
    </xf>
    <xf numFmtId="0" fontId="4" fillId="0" borderId="13" xfId="82" applyFont="1" applyBorder="1">
      <alignment/>
      <protection/>
    </xf>
    <xf numFmtId="0" fontId="4" fillId="0" borderId="21" xfId="82" applyFont="1" applyBorder="1">
      <alignment/>
      <protection/>
    </xf>
    <xf numFmtId="0" fontId="4" fillId="0" borderId="22" xfId="82" applyFont="1" applyBorder="1">
      <alignment/>
      <protection/>
    </xf>
    <xf numFmtId="4" fontId="4" fillId="0" borderId="0" xfId="71" applyNumberFormat="1" applyFont="1">
      <alignment/>
      <protection/>
    </xf>
    <xf numFmtId="3" fontId="4" fillId="0" borderId="23" xfId="82" applyNumberFormat="1" applyFont="1" applyFill="1" applyBorder="1" applyAlignment="1">
      <alignment horizontal="center"/>
      <protection/>
    </xf>
    <xf numFmtId="0" fontId="4" fillId="0" borderId="0" xfId="71" applyFont="1" applyFill="1">
      <alignment/>
      <protection/>
    </xf>
    <xf numFmtId="3" fontId="4" fillId="0" borderId="0" xfId="71" applyNumberFormat="1" applyFont="1" applyFill="1">
      <alignment/>
      <protection/>
    </xf>
    <xf numFmtId="0" fontId="4" fillId="0" borderId="24" xfId="82" applyFont="1" applyBorder="1">
      <alignment/>
      <protection/>
    </xf>
    <xf numFmtId="3" fontId="4" fillId="0" borderId="25" xfId="82" applyNumberFormat="1" applyFont="1" applyFill="1" applyBorder="1" applyAlignment="1">
      <alignment horizontal="center"/>
      <protection/>
    </xf>
    <xf numFmtId="3" fontId="4" fillId="0" borderId="14" xfId="82" applyNumberFormat="1" applyFont="1" applyFill="1" applyBorder="1" applyAlignment="1">
      <alignment horizontal="center"/>
      <protection/>
    </xf>
    <xf numFmtId="3" fontId="4" fillId="0" borderId="14" xfId="80" applyNumberFormat="1" applyFont="1" applyFill="1" applyBorder="1" applyAlignment="1">
      <alignment horizontal="center"/>
      <protection/>
    </xf>
    <xf numFmtId="3" fontId="4" fillId="0" borderId="25" xfId="80" applyNumberFormat="1" applyFont="1" applyFill="1" applyBorder="1" applyAlignment="1">
      <alignment horizontal="center"/>
      <protection/>
    </xf>
    <xf numFmtId="3" fontId="4" fillId="0" borderId="14" xfId="81" applyNumberFormat="1" applyFont="1" applyFill="1" applyBorder="1" applyAlignment="1">
      <alignment horizontal="center"/>
      <protection/>
    </xf>
    <xf numFmtId="3" fontId="4" fillId="0" borderId="25" xfId="81" applyNumberFormat="1" applyFont="1" applyFill="1" applyBorder="1" applyAlignment="1">
      <alignment horizontal="center"/>
      <protection/>
    </xf>
    <xf numFmtId="3" fontId="4" fillId="0" borderId="23" xfId="81" applyNumberFormat="1" applyFont="1" applyFill="1" applyBorder="1" applyAlignment="1">
      <alignment horizontal="center"/>
      <protection/>
    </xf>
    <xf numFmtId="0" fontId="25" fillId="0" borderId="0" xfId="71" applyFont="1" applyBorder="1">
      <alignment/>
      <protection/>
    </xf>
    <xf numFmtId="0" fontId="25" fillId="0" borderId="0" xfId="71" applyFont="1">
      <alignment/>
      <protection/>
    </xf>
    <xf numFmtId="3" fontId="5" fillId="0" borderId="26" xfId="82" applyNumberFormat="1" applyFont="1" applyFill="1" applyBorder="1" applyAlignment="1">
      <alignment horizontal="center"/>
      <protection/>
    </xf>
    <xf numFmtId="3" fontId="5" fillId="0" borderId="0" xfId="82" applyNumberFormat="1" applyFont="1" applyFill="1" applyBorder="1" applyAlignment="1">
      <alignment horizontal="center"/>
      <protection/>
    </xf>
    <xf numFmtId="0" fontId="5" fillId="0" borderId="0" xfId="82" applyFont="1" applyFill="1">
      <alignment/>
      <protection/>
    </xf>
    <xf numFmtId="0" fontId="5" fillId="0" borderId="0" xfId="71" applyFont="1" applyFill="1" applyBorder="1">
      <alignment/>
      <protection/>
    </xf>
    <xf numFmtId="3" fontId="5" fillId="0" borderId="0" xfId="71" applyNumberFormat="1" applyFont="1" applyFill="1" applyBorder="1">
      <alignment/>
      <protection/>
    </xf>
    <xf numFmtId="3" fontId="4" fillId="0" borderId="27" xfId="82" applyNumberFormat="1" applyFont="1" applyFill="1" applyBorder="1" applyAlignment="1">
      <alignment horizontal="center"/>
      <protection/>
    </xf>
    <xf numFmtId="0" fontId="57" fillId="0" borderId="0" xfId="71" applyFont="1">
      <alignment/>
      <protection/>
    </xf>
    <xf numFmtId="0" fontId="4" fillId="0" borderId="28" xfId="82" applyFont="1" applyBorder="1">
      <alignment/>
      <protection/>
    </xf>
    <xf numFmtId="3" fontId="4" fillId="0" borderId="29" xfId="82" applyNumberFormat="1" applyFont="1" applyFill="1" applyBorder="1" applyAlignment="1">
      <alignment horizontal="center"/>
      <protection/>
    </xf>
    <xf numFmtId="3" fontId="4" fillId="0" borderId="23" xfId="80" applyNumberFormat="1" applyFont="1" applyFill="1" applyBorder="1" applyAlignment="1">
      <alignment horizontal="center"/>
      <protection/>
    </xf>
    <xf numFmtId="0" fontId="58" fillId="0" borderId="0" xfId="71" applyFont="1" applyFill="1">
      <alignment/>
      <protection/>
    </xf>
    <xf numFmtId="0" fontId="57" fillId="0" borderId="0" xfId="71" applyFont="1" applyFill="1" applyBorder="1">
      <alignment/>
      <protection/>
    </xf>
    <xf numFmtId="3" fontId="57" fillId="0" borderId="0" xfId="82" applyNumberFormat="1" applyFont="1" applyFill="1" applyBorder="1" applyAlignment="1">
      <alignment horizontal="center"/>
      <protection/>
    </xf>
    <xf numFmtId="0" fontId="58" fillId="0" borderId="0" xfId="71" applyFont="1" applyFill="1" applyBorder="1" applyAlignment="1">
      <alignment horizontal="center"/>
      <protection/>
    </xf>
    <xf numFmtId="0" fontId="5" fillId="0" borderId="30" xfId="82" applyFont="1" applyBorder="1">
      <alignment/>
      <protection/>
    </xf>
    <xf numFmtId="3" fontId="5" fillId="0" borderId="31" xfId="82" applyNumberFormat="1" applyFont="1" applyFill="1" applyBorder="1" applyAlignment="1">
      <alignment horizontal="center"/>
      <protection/>
    </xf>
    <xf numFmtId="3" fontId="59" fillId="0" borderId="14" xfId="82" applyNumberFormat="1" applyFont="1" applyFill="1" applyBorder="1" applyAlignment="1">
      <alignment horizontal="center"/>
      <protection/>
    </xf>
    <xf numFmtId="3" fontId="59" fillId="0" borderId="25" xfId="82" applyNumberFormat="1" applyFont="1" applyFill="1" applyBorder="1" applyAlignment="1">
      <alignment horizontal="center"/>
      <protection/>
    </xf>
    <xf numFmtId="3" fontId="60" fillId="0" borderId="26" xfId="82" applyNumberFormat="1" applyFont="1" applyFill="1" applyBorder="1" applyAlignment="1">
      <alignment horizontal="center"/>
      <protection/>
    </xf>
    <xf numFmtId="3" fontId="57" fillId="0" borderId="0" xfId="71" applyNumberFormat="1" applyFont="1">
      <alignment/>
      <protection/>
    </xf>
    <xf numFmtId="0" fontId="5" fillId="0" borderId="0" xfId="82" applyFont="1" applyAlignment="1">
      <alignment horizont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2" xfId="71" applyFont="1" applyFill="1" applyBorder="1" applyAlignment="1">
      <alignment horizontal="center" vertical="center"/>
      <protection/>
    </xf>
    <xf numFmtId="0" fontId="4" fillId="0" borderId="33" xfId="71" applyFont="1" applyFill="1" applyBorder="1" applyAlignment="1">
      <alignment horizontal="center" vertical="center"/>
      <protection/>
    </xf>
    <xf numFmtId="0" fontId="25" fillId="0" borderId="0" xfId="71" applyFont="1" applyBorder="1" applyAlignment="1">
      <alignment horizontal="left" wrapText="1"/>
      <protection/>
    </xf>
  </cellXfs>
  <cellStyles count="96">
    <cellStyle name="Normal" xfId="0"/>
    <cellStyle name="_194" xfId="15"/>
    <cellStyle name="_Сб-macro 2020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Currency [0]" xfId="35"/>
    <cellStyle name="Euro" xfId="36"/>
    <cellStyle name="Normal_Form2.1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ащитный" xfId="59"/>
    <cellStyle name="Значение" xfId="60"/>
    <cellStyle name="Итог" xfId="61"/>
    <cellStyle name="Контрольная ячейка" xfId="62"/>
    <cellStyle name="Мой заголовок" xfId="63"/>
    <cellStyle name="Мой заголовок листа" xfId="64"/>
    <cellStyle name="Мои наименования показателей" xfId="65"/>
    <cellStyle name="Название" xfId="66"/>
    <cellStyle name="Нейтральный" xfId="67"/>
    <cellStyle name="Обычный 10" xfId="68"/>
    <cellStyle name="Обычный 11" xfId="69"/>
    <cellStyle name="Обычный 12" xfId="7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Обычный_Апрель Апатит 10" xfId="80"/>
    <cellStyle name="Обычный_Апрель Апатит 11" xfId="81"/>
    <cellStyle name="Обычный_Апрель Апатит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инансовый 2" xfId="96"/>
    <cellStyle name="Формула" xfId="97"/>
    <cellStyle name="ФормулаВБ" xfId="98"/>
    <cellStyle name="ФормулаНаКонтроль" xfId="99"/>
    <cellStyle name="Хороший" xfId="100"/>
    <cellStyle name="㼿" xfId="101"/>
    <cellStyle name="㼿?" xfId="102"/>
    <cellStyle name="㼿㼿" xfId="103"/>
    <cellStyle name="㼿㼿?" xfId="104"/>
    <cellStyle name="㼿㼿㼿" xfId="105"/>
    <cellStyle name="㼿㼿㼿?" xfId="106"/>
    <cellStyle name="㼿㼿㼿㼿" xfId="107"/>
    <cellStyle name="㼿㼿㼿㼿?" xfId="108"/>
    <cellStyle name="㼿㼿㼿㼿㼿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4"/>
  <sheetViews>
    <sheetView zoomScalePageLayoutView="0" workbookViewId="0" topLeftCell="A37">
      <selection activeCell="E47" sqref="E47:G49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2.421875" style="3" bestFit="1" customWidth="1"/>
    <col min="8" max="8" width="9.140625" style="3" customWidth="1"/>
    <col min="9" max="9" width="12.421875" style="3" bestFit="1" customWidth="1"/>
    <col min="10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21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184252696</v>
      </c>
      <c r="E8" s="43"/>
      <c r="F8" s="6"/>
    </row>
    <row r="9" spans="2:7" ht="15.75">
      <c r="B9" s="8" t="s">
        <v>2</v>
      </c>
      <c r="C9" s="15">
        <f>C20+C27+C35</f>
        <v>1601344</v>
      </c>
      <c r="G9" s="6"/>
    </row>
    <row r="10" spans="2:6" ht="15.75">
      <c r="B10" s="8" t="s">
        <v>3</v>
      </c>
      <c r="C10" s="15">
        <f>C21+C28+C36+C43+C48</f>
        <v>4587620</v>
      </c>
      <c r="F10" s="6"/>
    </row>
    <row r="11" spans="2:7" ht="15.75">
      <c r="B11" s="8" t="s">
        <v>4</v>
      </c>
      <c r="C11" s="15">
        <f>C22+C29+C37</f>
        <v>542368</v>
      </c>
      <c r="G11" s="6"/>
    </row>
    <row r="12" spans="2:3" ht="15.75">
      <c r="B12" s="8" t="s">
        <v>11</v>
      </c>
      <c r="C12" s="15">
        <f>C30+C54+C49</f>
        <v>794037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8246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9" ht="16.5" thickBot="1">
      <c r="B16" s="1" t="s">
        <v>10</v>
      </c>
      <c r="C16" s="24">
        <f>SUM(C8:C15)</f>
        <v>191786311</v>
      </c>
      <c r="E16" s="6"/>
      <c r="F16" s="6"/>
      <c r="G16" s="6"/>
      <c r="I16" s="6"/>
    </row>
    <row r="17" spans="2:6" ht="15.75">
      <c r="B17" s="22" t="s">
        <v>7</v>
      </c>
      <c r="C17" s="27"/>
      <c r="F17" s="6"/>
    </row>
    <row r="18" spans="2:6" ht="16.5" thickBot="1">
      <c r="B18" s="22" t="s">
        <v>23</v>
      </c>
      <c r="F18" s="6"/>
    </row>
    <row r="19" spans="2:6" ht="15.75">
      <c r="B19" s="7" t="s">
        <v>1</v>
      </c>
      <c r="C19" s="17">
        <v>150357748</v>
      </c>
      <c r="F19" s="6"/>
    </row>
    <row r="20" spans="2:6" ht="15.75">
      <c r="B20" s="8" t="s">
        <v>2</v>
      </c>
      <c r="C20" s="18">
        <v>20160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>
        <v>0</v>
      </c>
      <c r="F23" s="6"/>
    </row>
    <row r="24" spans="2:6" ht="16.5" thickBot="1">
      <c r="B24" s="1" t="s">
        <v>10</v>
      </c>
      <c r="C24" s="24">
        <f>SUM(C19:C23)</f>
        <v>150377908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f>4551887-832249</f>
        <v>3719638</v>
      </c>
      <c r="E26" s="6"/>
      <c r="F26" s="6"/>
    </row>
    <row r="27" spans="2:6" ht="15.75">
      <c r="B27" s="8" t="s">
        <v>2</v>
      </c>
      <c r="C27" s="18">
        <v>1579027</v>
      </c>
      <c r="F27" s="10"/>
    </row>
    <row r="28" spans="2:6" ht="15.75">
      <c r="B28" s="8" t="s">
        <v>3</v>
      </c>
      <c r="C28" s="18">
        <f>3730525-C48-C43</f>
        <v>3316592</v>
      </c>
      <c r="E28" s="6"/>
      <c r="F28" s="6"/>
    </row>
    <row r="29" spans="2:5" ht="15.75">
      <c r="B29" s="8" t="s">
        <v>4</v>
      </c>
      <c r="C29" s="18">
        <v>383040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8998297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2157</v>
      </c>
    </row>
    <row r="36" spans="2:3" ht="15.75">
      <c r="B36" s="8" t="s">
        <v>3</v>
      </c>
      <c r="C36" s="20">
        <v>857095</v>
      </c>
    </row>
    <row r="37" spans="2:3" ht="15.75">
      <c r="B37" s="8" t="s">
        <v>4</v>
      </c>
      <c r="C37" s="20">
        <v>159328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3773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1022353</v>
      </c>
      <c r="F41" s="6"/>
    </row>
    <row r="42" spans="2:6" ht="16.5" thickBot="1">
      <c r="B42" s="22" t="s">
        <v>17</v>
      </c>
      <c r="F42" s="6"/>
    </row>
    <row r="43" spans="2:6" ht="15.75">
      <c r="B43" s="7" t="s">
        <v>3</v>
      </c>
      <c r="C43" s="16">
        <v>397982</v>
      </c>
      <c r="F43" s="6"/>
    </row>
    <row r="44" spans="2:6" ht="16.5" thickBot="1">
      <c r="B44" s="8" t="s">
        <v>6</v>
      </c>
      <c r="C44" s="15">
        <v>4473</v>
      </c>
      <c r="F44" s="6"/>
    </row>
    <row r="45" spans="2:6" ht="16.5" thickBot="1">
      <c r="B45" s="1" t="s">
        <v>10</v>
      </c>
      <c r="C45" s="24">
        <f>SUM(C43:C44)</f>
        <v>402455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5.75">
      <c r="B47" s="7" t="s">
        <v>1</v>
      </c>
      <c r="C47" s="16">
        <f>1423057+832949</f>
        <v>2256006</v>
      </c>
      <c r="E47" s="6"/>
    </row>
    <row r="48" spans="2:5" ht="15.75">
      <c r="B48" s="8" t="s">
        <v>3</v>
      </c>
      <c r="C48" s="15">
        <v>15951</v>
      </c>
      <c r="E48" s="6"/>
    </row>
    <row r="49" spans="2:5" ht="16.5" thickBot="1">
      <c r="B49" s="14" t="s">
        <v>19</v>
      </c>
      <c r="C49" s="29">
        <v>640539</v>
      </c>
      <c r="E49" s="6"/>
    </row>
    <row r="50" spans="2:3" ht="16.5" thickBot="1">
      <c r="B50" s="38" t="s">
        <v>10</v>
      </c>
      <c r="C50" s="39">
        <f>SUM(C47:C49)</f>
        <v>2912496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27919304</v>
      </c>
      <c r="F53" s="6"/>
    </row>
    <row r="54" spans="2:6" ht="16.5" thickBot="1">
      <c r="B54" s="14" t="s">
        <v>19</v>
      </c>
      <c r="C54" s="29">
        <v>153498</v>
      </c>
      <c r="F54" s="6"/>
    </row>
    <row r="55" spans="2:3" ht="16.5" thickBot="1">
      <c r="B55" s="1" t="s">
        <v>10</v>
      </c>
      <c r="C55" s="24">
        <f>SUM(C53:C54)</f>
        <v>28072802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1642+15569+13411+4664+802+652+254+308+198525</f>
        <v>235827</v>
      </c>
    </row>
    <row r="59" spans="2:3" ht="15.75">
      <c r="B59" s="8" t="s">
        <v>2</v>
      </c>
      <c r="C59" s="15">
        <f>51+1112+3+27</f>
        <v>1193</v>
      </c>
    </row>
    <row r="60" spans="2:3" ht="15.75">
      <c r="B60" s="8" t="s">
        <v>3</v>
      </c>
      <c r="C60" s="15">
        <f>88+10+1.38+3+215+269+139+52</f>
        <v>777.38</v>
      </c>
    </row>
    <row r="61" spans="2:3" ht="15.75">
      <c r="B61" s="8" t="s">
        <v>4</v>
      </c>
      <c r="C61" s="15">
        <f>12.594+1+5.526+5+1.489</f>
        <v>25.608999999999998</v>
      </c>
    </row>
    <row r="62" spans="2:3" ht="16.5" thickBot="1">
      <c r="B62" s="8" t="s">
        <v>19</v>
      </c>
      <c r="C62" s="15">
        <f>207+896</f>
        <v>1103</v>
      </c>
    </row>
    <row r="63" spans="2:8" ht="16.5" thickBot="1">
      <c r="B63" s="1" t="s">
        <v>20</v>
      </c>
      <c r="C63" s="24">
        <f>SUM(C58:C62)</f>
        <v>238925.989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37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37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182937250</v>
      </c>
      <c r="E8" s="30"/>
      <c r="F8" s="6"/>
    </row>
    <row r="9" spans="2:7" ht="15.75">
      <c r="B9" s="8" t="s">
        <v>2</v>
      </c>
      <c r="C9" s="15">
        <f>C20+C27+C35</f>
        <v>553496</v>
      </c>
      <c r="G9" s="6"/>
    </row>
    <row r="10" spans="2:6" ht="15.75">
      <c r="B10" s="8" t="s">
        <v>3</v>
      </c>
      <c r="C10" s="15">
        <f>C21+C28+C36+C43+C48</f>
        <v>7332263</v>
      </c>
      <c r="F10" s="6"/>
    </row>
    <row r="11" spans="2:7" ht="15.75">
      <c r="B11" s="8" t="s">
        <v>4</v>
      </c>
      <c r="C11" s="15">
        <f>C22+C29+C37</f>
        <v>436787</v>
      </c>
      <c r="G11" s="6"/>
    </row>
    <row r="12" spans="2:3" ht="15.75">
      <c r="B12" s="8" t="s">
        <v>11</v>
      </c>
      <c r="C12" s="15">
        <f>C30+C54+C49</f>
        <v>763256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192023052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145503874</v>
      </c>
      <c r="F19" s="6"/>
    </row>
    <row r="20" spans="2:6" ht="15.75">
      <c r="B20" s="8" t="s">
        <v>2</v>
      </c>
      <c r="C20" s="18">
        <v>1600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145505474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884993</v>
      </c>
      <c r="E26" s="6"/>
      <c r="F26" s="6"/>
    </row>
    <row r="27" spans="2:6" ht="15.75">
      <c r="B27" s="8" t="s">
        <v>2</v>
      </c>
      <c r="C27" s="18">
        <v>549578</v>
      </c>
      <c r="F27" s="10"/>
    </row>
    <row r="28" spans="2:6" ht="15.75">
      <c r="B28" s="8" t="s">
        <v>3</v>
      </c>
      <c r="C28" s="18">
        <f>5952991-C43-5933</f>
        <v>5702278</v>
      </c>
      <c r="E28" s="6"/>
      <c r="F28" s="6"/>
    </row>
    <row r="29" spans="2:5" ht="15.75">
      <c r="B29" s="8" t="s">
        <v>4</v>
      </c>
      <c r="C29" s="18">
        <v>309547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7446396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2318</v>
      </c>
    </row>
    <row r="36" spans="2:3" ht="15.75">
      <c r="B36" s="8" t="s">
        <v>3</v>
      </c>
      <c r="C36" s="20">
        <v>641600</v>
      </c>
    </row>
    <row r="37" spans="2:3" ht="15.75">
      <c r="B37" s="8" t="s">
        <v>4</v>
      </c>
      <c r="C37" s="20">
        <v>127240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771158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244780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244780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1180262</v>
      </c>
      <c r="E47" s="6"/>
    </row>
    <row r="48" spans="2:5" ht="16.5" thickBot="1">
      <c r="B48" s="14" t="s">
        <v>2</v>
      </c>
      <c r="C48" s="29">
        <v>743605</v>
      </c>
      <c r="E48" s="6"/>
    </row>
    <row r="49" spans="2:5" ht="16.5" thickBot="1">
      <c r="B49" s="8" t="s">
        <v>19</v>
      </c>
      <c r="C49" s="33">
        <v>613122</v>
      </c>
      <c r="E49" s="6"/>
    </row>
    <row r="50" spans="2:3" ht="16.5" thickBot="1">
      <c r="B50" s="1" t="s">
        <v>10</v>
      </c>
      <c r="C50" s="24">
        <f>SUM(C47:C49)</f>
        <v>2536989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35368121</v>
      </c>
      <c r="F53" s="6"/>
    </row>
    <row r="54" spans="2:6" ht="16.5" thickBot="1">
      <c r="B54" s="14" t="s">
        <v>19</v>
      </c>
      <c r="C54" s="29">
        <v>150134</v>
      </c>
      <c r="F54" s="6"/>
    </row>
    <row r="55" spans="2:3" ht="16.5" thickBot="1">
      <c r="B55" s="1" t="s">
        <v>10</v>
      </c>
      <c r="C55" s="24">
        <f>SUM(C53:C54)</f>
        <v>35518255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194073+375+623+30690+840+11760+607+1300</f>
        <v>240268</v>
      </c>
    </row>
    <row r="59" spans="2:3" ht="15.75">
      <c r="B59" s="8" t="s">
        <v>2</v>
      </c>
      <c r="C59" s="15">
        <f>2+3+999+168+74+78+975+17</f>
        <v>2316</v>
      </c>
    </row>
    <row r="60" spans="2:3" ht="15.75">
      <c r="B60" s="8" t="s">
        <v>3</v>
      </c>
      <c r="C60" s="15">
        <f>138+88+29+77+9+1.385+3+30+16+148+62</f>
        <v>601.385</v>
      </c>
    </row>
    <row r="61" spans="2:3" ht="15.75">
      <c r="B61" s="8" t="s">
        <v>4</v>
      </c>
      <c r="C61" s="15">
        <f>10.357+2+1.514+5.264+5</f>
        <v>24.134999999999998</v>
      </c>
    </row>
    <row r="62" spans="2:3" ht="16.5" thickBot="1">
      <c r="B62" s="8" t="s">
        <v>19</v>
      </c>
      <c r="C62" s="15">
        <f>832+190+819</f>
        <v>1841</v>
      </c>
    </row>
    <row r="63" spans="2:8" ht="16.5" thickBot="1">
      <c r="B63" s="1" t="s">
        <v>20</v>
      </c>
      <c r="C63" s="24">
        <f>SUM(C58:C62)</f>
        <v>245050.52000000002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38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38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171864440</v>
      </c>
      <c r="E8" s="30"/>
      <c r="F8" s="6"/>
    </row>
    <row r="9" spans="2:7" ht="15.75">
      <c r="B9" s="8" t="s">
        <v>2</v>
      </c>
      <c r="C9" s="15">
        <f>C20+C27+C35</f>
        <v>669266</v>
      </c>
      <c r="G9" s="6"/>
    </row>
    <row r="10" spans="2:6" ht="15.75">
      <c r="B10" s="8" t="s">
        <v>3</v>
      </c>
      <c r="C10" s="15">
        <f>C21+C28+C36+C43+C48</f>
        <v>8155268</v>
      </c>
      <c r="F10" s="6"/>
    </row>
    <row r="11" spans="2:7" ht="15.75">
      <c r="B11" s="8" t="s">
        <v>4</v>
      </c>
      <c r="C11" s="15">
        <f>C22+C29+C37</f>
        <v>478600</v>
      </c>
      <c r="G11" s="6"/>
    </row>
    <row r="12" spans="2:3" ht="15.75">
      <c r="B12" s="8" t="s">
        <v>11</v>
      </c>
      <c r="C12" s="15">
        <f>C30+C54+C49</f>
        <v>794023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181961597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141376012</v>
      </c>
      <c r="F19" s="6"/>
    </row>
    <row r="20" spans="2:6" ht="15.75">
      <c r="B20" s="8" t="s">
        <v>2</v>
      </c>
      <c r="C20" s="18">
        <v>4760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141380772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988455</v>
      </c>
      <c r="E26" s="6"/>
      <c r="F26" s="6"/>
    </row>
    <row r="27" spans="2:6" ht="15.75">
      <c r="B27" s="8" t="s">
        <v>2</v>
      </c>
      <c r="C27" s="18">
        <v>662547</v>
      </c>
      <c r="F27" s="10"/>
    </row>
    <row r="28" spans="2:6" ht="15.75">
      <c r="B28" s="8" t="s">
        <v>3</v>
      </c>
      <c r="C28" s="18">
        <f>6803213-C45-208865</f>
        <v>6276191</v>
      </c>
      <c r="E28" s="6"/>
      <c r="F28" s="6"/>
    </row>
    <row r="29" spans="2:5" ht="15.75">
      <c r="B29" s="8" t="s">
        <v>4</v>
      </c>
      <c r="C29" s="18">
        <v>338336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8265529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1959</v>
      </c>
    </row>
    <row r="36" spans="2:3" ht="15.75">
      <c r="B36" s="8" t="s">
        <v>3</v>
      </c>
      <c r="C36" s="20">
        <v>794876</v>
      </c>
    </row>
    <row r="37" spans="2:3" ht="15.75">
      <c r="B37" s="8" t="s">
        <v>4</v>
      </c>
      <c r="C37" s="20">
        <v>140264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937099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318157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318157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1287321</v>
      </c>
      <c r="E47" s="6"/>
    </row>
    <row r="48" spans="2:5" ht="16.5" thickBot="1">
      <c r="B48" s="14" t="s">
        <v>2</v>
      </c>
      <c r="C48" s="29">
        <v>766044</v>
      </c>
      <c r="E48" s="6"/>
    </row>
    <row r="49" spans="2:5" ht="16.5" thickBot="1">
      <c r="B49" s="8" t="s">
        <v>19</v>
      </c>
      <c r="C49" s="33">
        <v>636300</v>
      </c>
      <c r="E49" s="6"/>
    </row>
    <row r="50" spans="2:3" ht="16.5" thickBot="1">
      <c r="B50" s="1" t="s">
        <v>10</v>
      </c>
      <c r="C50" s="24">
        <f>SUM(C47:C49)</f>
        <v>2689665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28212652</v>
      </c>
      <c r="F53" s="6"/>
    </row>
    <row r="54" spans="2:6" ht="16.5" thickBot="1">
      <c r="B54" s="14" t="s">
        <v>19</v>
      </c>
      <c r="C54" s="29">
        <v>157723</v>
      </c>
      <c r="F54" s="6"/>
    </row>
    <row r="55" spans="2:3" ht="16.5" thickBot="1">
      <c r="B55" s="1" t="s">
        <v>10</v>
      </c>
      <c r="C55" s="24">
        <f>SUM(C53:C54)</f>
        <v>28370375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709+1477+712+416+11493+197036+18615</f>
        <v>230458</v>
      </c>
    </row>
    <row r="59" spans="2:3" ht="15.75">
      <c r="B59" s="8" t="s">
        <v>2</v>
      </c>
      <c r="C59" s="15">
        <f>3+1060+26+195+7</f>
        <v>1291</v>
      </c>
    </row>
    <row r="60" spans="2:3" ht="15.75">
      <c r="B60" s="8" t="s">
        <v>3</v>
      </c>
      <c r="C60" s="15">
        <f>9+1.374+3+128+155+82+52+77</f>
        <v>507.374</v>
      </c>
    </row>
    <row r="61" spans="2:3" ht="15.75">
      <c r="B61" s="8" t="s">
        <v>4</v>
      </c>
      <c r="C61" s="15">
        <f>1.471+10.861+2+5.395+5</f>
        <v>24.727</v>
      </c>
    </row>
    <row r="62" spans="2:3" ht="16.5" thickBot="1">
      <c r="B62" s="8" t="s">
        <v>19</v>
      </c>
      <c r="C62" s="15">
        <f>873+203</f>
        <v>1076</v>
      </c>
    </row>
    <row r="63" spans="2:8" ht="16.5" thickBot="1">
      <c r="B63" s="1" t="s">
        <v>20</v>
      </c>
      <c r="C63" s="24">
        <f>SUM(C58:C62)</f>
        <v>233357.10100000002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43">
      <selection activeCell="A66" sqref="A66:IV69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39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189075045</v>
      </c>
      <c r="E8" s="30"/>
      <c r="F8" s="6"/>
    </row>
    <row r="9" spans="2:7" ht="15.75">
      <c r="B9" s="8" t="s">
        <v>2</v>
      </c>
      <c r="C9" s="15">
        <f>C20+C27+C35</f>
        <v>711527</v>
      </c>
      <c r="G9" s="6"/>
    </row>
    <row r="10" spans="2:6" ht="15.75">
      <c r="B10" s="8" t="s">
        <v>3</v>
      </c>
      <c r="C10" s="15">
        <f>C21+C28+C36+C43+C48</f>
        <v>9644929</v>
      </c>
      <c r="F10" s="6"/>
    </row>
    <row r="11" spans="2:7" ht="15.75">
      <c r="B11" s="8" t="s">
        <v>4</v>
      </c>
      <c r="C11" s="15">
        <f>C22+C29+C37</f>
        <v>484414</v>
      </c>
      <c r="G11" s="6"/>
    </row>
    <row r="12" spans="2:3" ht="15.75">
      <c r="B12" s="8" t="s">
        <v>11</v>
      </c>
      <c r="C12" s="15">
        <f>C30+C54+C49</f>
        <v>823358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200739273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154309397</v>
      </c>
      <c r="F19" s="6"/>
    </row>
    <row r="20" spans="2:6" ht="15.75">
      <c r="B20" s="8" t="s">
        <v>2</v>
      </c>
      <c r="C20" s="18">
        <v>680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154310077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1070522</v>
      </c>
      <c r="E26" s="6"/>
      <c r="F26" s="6"/>
    </row>
    <row r="27" spans="2:6" ht="15.75">
      <c r="B27" s="8" t="s">
        <v>2</v>
      </c>
      <c r="C27" s="18">
        <v>708670</v>
      </c>
      <c r="F27" s="10"/>
    </row>
    <row r="28" spans="2:6" ht="15.75">
      <c r="B28" s="8" t="s">
        <v>3</v>
      </c>
      <c r="C28" s="18">
        <f>7725391-C43+211153</f>
        <v>7415185</v>
      </c>
      <c r="E28" s="6"/>
      <c r="F28" s="6"/>
    </row>
    <row r="29" spans="2:5" ht="15.75">
      <c r="B29" s="8" t="s">
        <v>4</v>
      </c>
      <c r="C29" s="18">
        <v>348228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9542605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2177</v>
      </c>
    </row>
    <row r="36" spans="2:3" ht="15.75">
      <c r="B36" s="8" t="s">
        <v>3</v>
      </c>
      <c r="C36" s="20">
        <v>874323</v>
      </c>
    </row>
    <row r="37" spans="2:3" ht="15.75">
      <c r="B37" s="8" t="s">
        <v>4</v>
      </c>
      <c r="C37" s="20">
        <v>136186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1012686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521359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521359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1347711</v>
      </c>
      <c r="E47" s="6"/>
    </row>
    <row r="48" spans="2:5" ht="16.5" thickBot="1">
      <c r="B48" s="14" t="s">
        <v>2</v>
      </c>
      <c r="C48" s="29">
        <v>834062</v>
      </c>
      <c r="E48" s="6"/>
    </row>
    <row r="49" spans="2:5" ht="16.5" thickBot="1">
      <c r="B49" s="8" t="s">
        <v>19</v>
      </c>
      <c r="C49" s="33">
        <v>668024</v>
      </c>
      <c r="E49" s="6"/>
    </row>
    <row r="50" spans="2:3" ht="16.5" thickBot="1">
      <c r="B50" s="1" t="s">
        <v>10</v>
      </c>
      <c r="C50" s="24">
        <f>SUM(C47:C49)</f>
        <v>2849797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32347415</v>
      </c>
      <c r="F53" s="6"/>
    </row>
    <row r="54" spans="2:6" ht="16.5" thickBot="1">
      <c r="B54" s="14" t="s">
        <v>19</v>
      </c>
      <c r="C54" s="29">
        <v>155334</v>
      </c>
      <c r="F54" s="6"/>
    </row>
    <row r="55" spans="2:3" ht="16.5" thickBot="1">
      <c r="B55" s="1" t="s">
        <v>10</v>
      </c>
      <c r="C55" s="24">
        <f>SUM(C53:C54)</f>
        <v>32502749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10830+84+1501+28145+209383+1501+750+618</f>
        <v>252812</v>
      </c>
    </row>
    <row r="59" spans="2:3" ht="15.75">
      <c r="B59" s="8" t="s">
        <v>2</v>
      </c>
      <c r="C59" s="15">
        <f>36+1+3+36+1118+218</f>
        <v>1412</v>
      </c>
    </row>
    <row r="60" spans="2:3" ht="15.75">
      <c r="B60" s="8" t="s">
        <v>3</v>
      </c>
      <c r="C60" s="15">
        <f>84+174+154+315+110+1.364+3+12</f>
        <v>853.364</v>
      </c>
    </row>
    <row r="61" spans="2:3" ht="15.75">
      <c r="B61" s="8" t="s">
        <v>4</v>
      </c>
      <c r="C61" s="15">
        <f>5.544+5+10.147+2+1.452</f>
        <v>24.143</v>
      </c>
    </row>
    <row r="62" spans="2:3" ht="16.5" thickBot="1">
      <c r="B62" s="8" t="s">
        <v>19</v>
      </c>
      <c r="C62" s="15">
        <f>190+912</f>
        <v>1102</v>
      </c>
    </row>
    <row r="63" spans="2:8" ht="16.5" thickBot="1">
      <c r="B63" s="1" t="s">
        <v>20</v>
      </c>
      <c r="C63" s="24">
        <f>SUM(C58:C62)</f>
        <v>256203.507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3"/>
  <sheetViews>
    <sheetView zoomScalePageLayoutView="0" workbookViewId="0" topLeftCell="A38">
      <selection activeCell="E47" sqref="E47:F4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22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C19+C26+C34+C47+C52</f>
        <v>170677456</v>
      </c>
      <c r="E8" s="30"/>
      <c r="F8" s="6"/>
    </row>
    <row r="9" spans="2:7" ht="15.75">
      <c r="B9" s="8" t="s">
        <v>2</v>
      </c>
      <c r="C9" s="15">
        <f>C20+C27+C35</f>
        <v>1416914</v>
      </c>
      <c r="G9" s="6"/>
    </row>
    <row r="10" spans="2:6" ht="15.75">
      <c r="B10" s="8" t="s">
        <v>3</v>
      </c>
      <c r="C10" s="15">
        <f>C21+C28+C36+C43+C48</f>
        <v>4659421</v>
      </c>
      <c r="F10" s="6"/>
    </row>
    <row r="11" spans="2:7" ht="15.75">
      <c r="B11" s="8" t="s">
        <v>4</v>
      </c>
      <c r="C11" s="15">
        <f>C22+C29+C37</f>
        <v>508407</v>
      </c>
      <c r="G11" s="6"/>
    </row>
    <row r="12" spans="2:3" ht="15.75">
      <c r="B12" s="8" t="s">
        <v>11</v>
      </c>
      <c r="C12" s="15">
        <f>C30+C53</f>
        <v>689465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7" ht="16.5" thickBot="1">
      <c r="B16" s="1" t="s">
        <v>10</v>
      </c>
      <c r="C16" s="24">
        <f>SUM(C8:C15)</f>
        <v>177951663</v>
      </c>
      <c r="E16" s="6"/>
      <c r="F16" s="6"/>
      <c r="G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135284419</v>
      </c>
      <c r="F19" s="6"/>
    </row>
    <row r="20" spans="2:6" ht="15.75">
      <c r="B20" s="8" t="s">
        <v>2</v>
      </c>
      <c r="C20" s="18">
        <v>17160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>
        <v>0</v>
      </c>
      <c r="F23" s="6"/>
    </row>
    <row r="24" spans="2:6" ht="16.5" thickBot="1">
      <c r="B24" s="1" t="s">
        <v>10</v>
      </c>
      <c r="C24" s="24">
        <f>SUM(C19:C23)</f>
        <v>135301579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4013906</v>
      </c>
      <c r="E26" s="6"/>
      <c r="F26" s="6"/>
    </row>
    <row r="27" spans="2:6" ht="15.75">
      <c r="B27" s="8" t="s">
        <v>2</v>
      </c>
      <c r="C27" s="18">
        <v>1397737</v>
      </c>
      <c r="F27" s="10"/>
    </row>
    <row r="28" spans="2:6" ht="15.75">
      <c r="B28" s="8" t="s">
        <v>3</v>
      </c>
      <c r="C28" s="18">
        <f>3714934-C45</f>
        <v>3364704</v>
      </c>
      <c r="E28" s="6"/>
      <c r="F28" s="6"/>
    </row>
    <row r="29" spans="2:5" ht="15.75">
      <c r="B29" s="8" t="s">
        <v>4</v>
      </c>
      <c r="C29" s="18">
        <v>374337</v>
      </c>
      <c r="E29" s="6"/>
    </row>
    <row r="30" spans="2:5" ht="15.75">
      <c r="B30" s="8" t="s">
        <v>19</v>
      </c>
      <c r="C30" s="33">
        <v>563399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9714083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2017</v>
      </c>
    </row>
    <row r="36" spans="2:3" ht="15.75">
      <c r="B36" s="8" t="s">
        <v>3</v>
      </c>
      <c r="C36" s="20">
        <f>944487-C48</f>
        <v>939464</v>
      </c>
    </row>
    <row r="37" spans="2:3" ht="15.75">
      <c r="B37" s="8" t="s">
        <v>4</v>
      </c>
      <c r="C37" s="20">
        <v>134070</v>
      </c>
    </row>
    <row r="38" spans="2:7" ht="15.75">
      <c r="B38" s="8" t="s">
        <v>5</v>
      </c>
      <c r="C38" s="20">
        <v>0</v>
      </c>
      <c r="E38" s="3" t="s">
        <v>29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1075551</v>
      </c>
      <c r="F41" s="6"/>
    </row>
    <row r="42" spans="2:6" ht="16.5" thickBot="1">
      <c r="B42" s="22" t="s">
        <v>17</v>
      </c>
      <c r="F42" s="6"/>
    </row>
    <row r="43" spans="2:6" ht="15.75">
      <c r="B43" s="7" t="s">
        <v>3</v>
      </c>
      <c r="C43" s="16">
        <v>350230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350230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1297994</v>
      </c>
      <c r="E47" s="6"/>
    </row>
    <row r="48" spans="2:5" ht="16.5" thickBot="1">
      <c r="B48" s="14" t="s">
        <v>3</v>
      </c>
      <c r="C48" s="29">
        <v>5023</v>
      </c>
      <c r="E48" s="6"/>
    </row>
    <row r="49" spans="2:3" ht="16.5" thickBot="1">
      <c r="B49" s="1" t="s">
        <v>10</v>
      </c>
      <c r="C49" s="24">
        <f>SUM(C47:C48)</f>
        <v>1303017</v>
      </c>
    </row>
    <row r="50" spans="2:3" ht="15.75">
      <c r="B50" s="2"/>
      <c r="C50" s="25"/>
    </row>
    <row r="51" spans="2:6" ht="16.5" thickBot="1">
      <c r="B51" s="49" t="s">
        <v>27</v>
      </c>
      <c r="C51" s="49"/>
      <c r="D51" s="49"/>
      <c r="E51" s="49"/>
      <c r="F51" s="6"/>
    </row>
    <row r="52" spans="2:6" ht="16.5" thickBot="1">
      <c r="B52" s="31" t="s">
        <v>1</v>
      </c>
      <c r="C52" s="32">
        <v>30081137</v>
      </c>
      <c r="F52" s="6"/>
    </row>
    <row r="53" spans="2:6" ht="16.5" thickBot="1">
      <c r="B53" s="14" t="s">
        <v>19</v>
      </c>
      <c r="C53" s="29">
        <v>126066</v>
      </c>
      <c r="F53" s="6"/>
    </row>
    <row r="54" spans="2:3" ht="16.5" thickBot="1">
      <c r="B54" s="1" t="s">
        <v>10</v>
      </c>
      <c r="C54" s="24">
        <f>SUM(C52:C53)</f>
        <v>30207203</v>
      </c>
    </row>
    <row r="55" spans="2:3" ht="15.75">
      <c r="B55" s="2"/>
      <c r="C55" s="36"/>
    </row>
    <row r="56" spans="2:3" ht="16.5" thickBot="1">
      <c r="B56" s="23" t="s">
        <v>18</v>
      </c>
      <c r="C56" s="37"/>
    </row>
    <row r="57" spans="2:3" ht="15.75">
      <c r="B57" s="7" t="s">
        <v>1</v>
      </c>
      <c r="C57" s="40">
        <v>209930</v>
      </c>
    </row>
    <row r="58" spans="2:5" ht="15.75">
      <c r="B58" s="8" t="s">
        <v>2</v>
      </c>
      <c r="C58" s="41">
        <v>1415.008</v>
      </c>
      <c r="E58" s="3" t="s">
        <v>28</v>
      </c>
    </row>
    <row r="59" spans="2:3" ht="15.75">
      <c r="B59" s="8" t="s">
        <v>3</v>
      </c>
      <c r="C59" s="41">
        <v>735.4159999999999</v>
      </c>
    </row>
    <row r="60" spans="2:3" ht="15.75">
      <c r="B60" s="8" t="s">
        <v>4</v>
      </c>
      <c r="C60" s="41">
        <v>25.538</v>
      </c>
    </row>
    <row r="61" spans="2:3" ht="16.5" thickBot="1">
      <c r="B61" s="8" t="s">
        <v>19</v>
      </c>
      <c r="C61" s="41">
        <v>844</v>
      </c>
    </row>
    <row r="62" spans="2:8" ht="16.5" thickBot="1">
      <c r="B62" s="1" t="s">
        <v>20</v>
      </c>
      <c r="C62" s="42">
        <f>SUM(C57:C61)</f>
        <v>212949.962</v>
      </c>
      <c r="E62" s="6"/>
      <c r="F62" s="6"/>
      <c r="H62" s="6"/>
    </row>
    <row r="63" spans="2:3" ht="15.75">
      <c r="B63" s="2"/>
      <c r="C63" s="25"/>
    </row>
  </sheetData>
  <sheetProtection/>
  <mergeCells count="5">
    <mergeCell ref="A2:E2"/>
    <mergeCell ref="B4:B5"/>
    <mergeCell ref="C4:C5"/>
    <mergeCell ref="B46:E46"/>
    <mergeCell ref="B51:E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tabSelected="1" zoomScalePageLayoutView="0" workbookViewId="0" topLeftCell="A1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30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191964199</v>
      </c>
      <c r="E8" s="30"/>
      <c r="F8" s="6"/>
    </row>
    <row r="9" spans="2:7" ht="15.75">
      <c r="B9" s="8" t="s">
        <v>2</v>
      </c>
      <c r="C9" s="15">
        <f>C20+C27+C35</f>
        <v>694770</v>
      </c>
      <c r="G9" s="6"/>
    </row>
    <row r="10" spans="2:6" ht="15.75">
      <c r="B10" s="8" t="s">
        <v>3</v>
      </c>
      <c r="C10" s="15">
        <f>C21+C28+C36+C43+C48</f>
        <v>5452859</v>
      </c>
      <c r="F10" s="6"/>
    </row>
    <row r="11" spans="2:7" ht="15.75">
      <c r="B11" s="8" t="s">
        <v>4</v>
      </c>
      <c r="C11" s="15">
        <f>C22+C29+C37</f>
        <v>495151</v>
      </c>
      <c r="G11" s="6"/>
    </row>
    <row r="12" spans="2:3" ht="15.75">
      <c r="B12" s="8" t="s">
        <v>11</v>
      </c>
      <c r="C12" s="15">
        <f>C30+C54+C49</f>
        <v>772212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7" ht="16.5" thickBot="1">
      <c r="B15" s="9" t="s">
        <v>12</v>
      </c>
      <c r="C15" s="11">
        <f>C40</f>
        <v>0</v>
      </c>
      <c r="E15" s="6"/>
      <c r="F15" s="6"/>
      <c r="G15" s="6"/>
    </row>
    <row r="16" spans="2:8" ht="16.5" thickBot="1">
      <c r="B16" s="1" t="s">
        <v>10</v>
      </c>
      <c r="C16" s="24">
        <f>SUM(C8:C15)</f>
        <v>199379191</v>
      </c>
      <c r="E16" s="6"/>
      <c r="F16" s="6"/>
      <c r="G16" s="6"/>
      <c r="H16" s="6"/>
    </row>
    <row r="17" spans="2:6" ht="15.75">
      <c r="B17" s="22" t="s">
        <v>7</v>
      </c>
      <c r="C17" s="35"/>
      <c r="E17" s="6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148553053</v>
      </c>
      <c r="F19" s="6"/>
    </row>
    <row r="20" spans="2:6" ht="15.75">
      <c r="B20" s="8" t="s">
        <v>2</v>
      </c>
      <c r="C20" s="18">
        <v>2480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148555533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f>3887694+217409</f>
        <v>4105103</v>
      </c>
      <c r="E26" s="6"/>
      <c r="F26" s="6"/>
    </row>
    <row r="27" spans="2:6" ht="15.75">
      <c r="B27" s="8" t="s">
        <v>2</v>
      </c>
      <c r="C27" s="18">
        <v>690080</v>
      </c>
      <c r="F27" s="10"/>
    </row>
    <row r="28" spans="2:6" ht="15.75">
      <c r="B28" s="8" t="s">
        <v>3</v>
      </c>
      <c r="C28" s="18">
        <f>3797429-C45</f>
        <v>3458430</v>
      </c>
      <c r="E28" s="6"/>
      <c r="F28" s="6"/>
    </row>
    <row r="29" spans="2:5" ht="15.75">
      <c r="B29" s="8" t="s">
        <v>4</v>
      </c>
      <c r="C29" s="18">
        <v>367128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8620741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2210</v>
      </c>
    </row>
    <row r="36" spans="2:3" ht="15.75">
      <c r="B36" s="8" t="s">
        <v>3</v>
      </c>
      <c r="C36" s="20">
        <v>848955</v>
      </c>
    </row>
    <row r="37" spans="2:3" ht="15.75">
      <c r="B37" s="8" t="s">
        <v>4</v>
      </c>
      <c r="C37" s="20">
        <v>128023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979188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338999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338999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1226777</v>
      </c>
      <c r="E47" s="6"/>
    </row>
    <row r="48" spans="2:5" ht="16.5" thickBot="1">
      <c r="B48" s="14" t="s">
        <v>3</v>
      </c>
      <c r="C48" s="29">
        <v>806475</v>
      </c>
      <c r="E48" s="6"/>
    </row>
    <row r="49" spans="2:5" ht="16.5" thickBot="1">
      <c r="B49" s="8" t="s">
        <v>19</v>
      </c>
      <c r="C49" s="33">
        <v>644811</v>
      </c>
      <c r="E49" s="6"/>
    </row>
    <row r="50" spans="2:3" ht="16.5" thickBot="1">
      <c r="B50" s="1" t="s">
        <v>10</v>
      </c>
      <c r="C50" s="24">
        <f>SUM(C47:C49)</f>
        <v>2678063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38079266</v>
      </c>
      <c r="F53" s="6"/>
    </row>
    <row r="54" spans="2:6" ht="16.5" thickBot="1">
      <c r="B54" s="14" t="s">
        <v>19</v>
      </c>
      <c r="C54" s="29">
        <v>127401</v>
      </c>
      <c r="F54" s="6"/>
    </row>
    <row r="55" spans="2:3" ht="16.5" thickBot="1">
      <c r="B55" s="1" t="s">
        <v>10</v>
      </c>
      <c r="C55" s="24">
        <f>SUM(C53:C54)</f>
        <v>38206667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1672+288+682+75+807+3702+12508+198755+29653</f>
        <v>248142</v>
      </c>
    </row>
    <row r="59" spans="2:3" ht="15.75">
      <c r="B59" s="8" t="s">
        <v>2</v>
      </c>
      <c r="C59" s="15">
        <f>44+3+218+1082+3</f>
        <v>1350</v>
      </c>
    </row>
    <row r="60" spans="2:3" ht="15.75">
      <c r="B60" s="8" t="s">
        <v>3</v>
      </c>
      <c r="C60" s="15">
        <f>83+10+1.649+3+71+105+124+149</f>
        <v>546.649</v>
      </c>
    </row>
    <row r="61" spans="2:3" ht="15.75">
      <c r="B61" s="8" t="s">
        <v>4</v>
      </c>
      <c r="C61" s="15">
        <f>1.486+9.778+3+5.675+5</f>
        <v>24.939</v>
      </c>
    </row>
    <row r="62" spans="2:3" ht="16.5" thickBot="1">
      <c r="B62" s="8" t="s">
        <v>19</v>
      </c>
      <c r="C62" s="15">
        <f>866+175</f>
        <v>1041</v>
      </c>
    </row>
    <row r="63" spans="2:8" ht="16.5" thickBot="1">
      <c r="B63" s="1" t="s">
        <v>20</v>
      </c>
      <c r="C63" s="24">
        <f>SUM(C58:C62)</f>
        <v>251104.58800000002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43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31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178950734</v>
      </c>
      <c r="E8" s="30"/>
      <c r="F8" s="6"/>
    </row>
    <row r="9" spans="2:7" ht="15.75">
      <c r="B9" s="8" t="s">
        <v>2</v>
      </c>
      <c r="C9" s="15">
        <f>C20+C27+C35</f>
        <v>595610</v>
      </c>
      <c r="G9" s="6"/>
    </row>
    <row r="10" spans="2:6" ht="15.75">
      <c r="B10" s="8" t="s">
        <v>3</v>
      </c>
      <c r="C10" s="15">
        <f>C21+C28+C36+C43+C48</f>
        <v>5375320</v>
      </c>
      <c r="F10" s="6"/>
    </row>
    <row r="11" spans="2:7" ht="15.75">
      <c r="B11" s="8" t="s">
        <v>4</v>
      </c>
      <c r="C11" s="15">
        <f>C22+C29+C37</f>
        <v>447285</v>
      </c>
      <c r="G11" s="6"/>
    </row>
    <row r="12" spans="2:3" ht="15.75">
      <c r="B12" s="8" t="s">
        <v>11</v>
      </c>
      <c r="C12" s="15">
        <f>C30+C54+C49</f>
        <v>735678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186104627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144865534</v>
      </c>
      <c r="F19" s="6"/>
    </row>
    <row r="20" spans="2:6" ht="15.75">
      <c r="B20" s="8" t="s">
        <v>2</v>
      </c>
      <c r="C20" s="18">
        <v>1320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144866854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f>3469264</f>
        <v>3469264</v>
      </c>
      <c r="E26" s="6"/>
      <c r="F26" s="6"/>
    </row>
    <row r="27" spans="2:6" ht="15.75">
      <c r="B27" s="8" t="s">
        <v>2</v>
      </c>
      <c r="C27" s="18">
        <v>592139</v>
      </c>
      <c r="F27" s="10"/>
    </row>
    <row r="28" spans="2:6" ht="15.75">
      <c r="B28" s="8" t="s">
        <v>3</v>
      </c>
      <c r="C28" s="18">
        <f>3789259-C43</f>
        <v>3508243</v>
      </c>
      <c r="E28" s="6"/>
      <c r="F28" s="6"/>
    </row>
    <row r="29" spans="2:5" ht="15.75">
      <c r="B29" s="8" t="s">
        <v>4</v>
      </c>
      <c r="C29" s="18">
        <v>313690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7883336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2151</v>
      </c>
    </row>
    <row r="36" spans="2:3" ht="15.75">
      <c r="B36" s="8" t="s">
        <v>3</v>
      </c>
      <c r="C36" s="20">
        <v>807796</v>
      </c>
    </row>
    <row r="37" spans="2:3" ht="15.75">
      <c r="B37" s="8" t="s">
        <v>4</v>
      </c>
      <c r="C37" s="20">
        <v>133595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943542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281016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281016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1385567</v>
      </c>
      <c r="E47" s="6"/>
    </row>
    <row r="48" spans="2:5" ht="16.5" thickBot="1">
      <c r="B48" s="14" t="s">
        <v>2</v>
      </c>
      <c r="C48" s="29">
        <v>778265</v>
      </c>
      <c r="E48" s="6"/>
    </row>
    <row r="49" spans="2:5" ht="16.5" thickBot="1">
      <c r="B49" s="8" t="s">
        <v>19</v>
      </c>
      <c r="C49" s="33">
        <v>604568</v>
      </c>
      <c r="E49" s="6"/>
    </row>
    <row r="50" spans="2:3" ht="16.5" thickBot="1">
      <c r="B50" s="1" t="s">
        <v>10</v>
      </c>
      <c r="C50" s="24">
        <f>SUM(C47:C49)</f>
        <v>2768400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29230369</v>
      </c>
      <c r="F53" s="6"/>
    </row>
    <row r="54" spans="2:6" ht="16.5" thickBot="1">
      <c r="B54" s="14" t="s">
        <v>19</v>
      </c>
      <c r="C54" s="29">
        <v>131110</v>
      </c>
      <c r="F54" s="6"/>
    </row>
    <row r="55" spans="2:3" ht="16.5" thickBot="1">
      <c r="B55" s="1" t="s">
        <v>10</v>
      </c>
      <c r="C55" s="24">
        <f>SUM(C53:C54)</f>
        <v>29361479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202653+2+342+672+252+2724+517+645+1680+10877</f>
        <v>220364</v>
      </c>
    </row>
    <row r="59" spans="2:3" ht="15.75">
      <c r="B59" s="8" t="s">
        <v>2</v>
      </c>
      <c r="C59" s="15">
        <f>3+1074+167+47</f>
        <v>1291</v>
      </c>
    </row>
    <row r="60" spans="2:3" ht="15.75">
      <c r="B60" s="8" t="s">
        <v>3</v>
      </c>
      <c r="C60" s="15">
        <f>1.386+3+10+113+139+243+119+87</f>
        <v>715.386</v>
      </c>
    </row>
    <row r="61" spans="2:3" ht="15.75">
      <c r="B61" s="8" t="s">
        <v>4</v>
      </c>
      <c r="C61" s="15">
        <f>5.866+5+11.248+3+1.503</f>
        <v>26.616999999999997</v>
      </c>
    </row>
    <row r="62" spans="2:3" ht="16.5" thickBot="1">
      <c r="B62" s="8" t="s">
        <v>19</v>
      </c>
      <c r="C62" s="15">
        <f>860+186</f>
        <v>1046</v>
      </c>
    </row>
    <row r="63" spans="2:8" ht="16.5" thickBot="1">
      <c r="B63" s="1" t="s">
        <v>20</v>
      </c>
      <c r="C63" s="24">
        <f>SUM(C58:C62)</f>
        <v>223443.003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40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32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182531246</v>
      </c>
      <c r="E8" s="30"/>
      <c r="F8" s="6"/>
    </row>
    <row r="9" spans="2:7" ht="15.75">
      <c r="B9" s="8" t="s">
        <v>2</v>
      </c>
      <c r="C9" s="15">
        <f>C20+C27+C35</f>
        <v>540271</v>
      </c>
      <c r="G9" s="6"/>
    </row>
    <row r="10" spans="2:6" ht="15.75">
      <c r="B10" s="8" t="s">
        <v>3</v>
      </c>
      <c r="C10" s="15">
        <f>C21+C28+C36+C43+C48</f>
        <v>6870843</v>
      </c>
      <c r="F10" s="6"/>
    </row>
    <row r="11" spans="2:7" ht="15.75">
      <c r="B11" s="8" t="s">
        <v>4</v>
      </c>
      <c r="C11" s="15">
        <f>C22+C29+C37</f>
        <v>451972</v>
      </c>
      <c r="G11" s="6"/>
    </row>
    <row r="12" spans="2:3" ht="15.75">
      <c r="B12" s="8" t="s">
        <v>11</v>
      </c>
      <c r="C12" s="15">
        <f>C30+C54+C49</f>
        <v>735690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191130022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141293673</v>
      </c>
      <c r="F19" s="6"/>
    </row>
    <row r="20" spans="2:6" ht="15.75">
      <c r="B20" s="8" t="s">
        <v>2</v>
      </c>
      <c r="C20" s="18">
        <v>940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141294613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827964</v>
      </c>
      <c r="E26" s="6"/>
      <c r="F26" s="6"/>
    </row>
    <row r="27" spans="2:6" ht="15.75">
      <c r="B27" s="8" t="s">
        <v>2</v>
      </c>
      <c r="C27" s="18">
        <v>536983</v>
      </c>
      <c r="F27" s="10"/>
    </row>
    <row r="28" spans="2:6" ht="15.75">
      <c r="B28" s="8" t="s">
        <v>3</v>
      </c>
      <c r="C28" s="18">
        <f>5660136-C43-337924</f>
        <v>5084055</v>
      </c>
      <c r="E28" s="6"/>
      <c r="F28" s="6"/>
    </row>
    <row r="29" spans="2:5" ht="15.75">
      <c r="B29" s="8" t="s">
        <v>4</v>
      </c>
      <c r="C29" s="18">
        <v>334105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6783107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2348</v>
      </c>
    </row>
    <row r="36" spans="2:3" ht="15.75">
      <c r="B36" s="8" t="s">
        <v>3</v>
      </c>
      <c r="C36" s="20">
        <v>783145</v>
      </c>
    </row>
    <row r="37" spans="2:3" ht="15.75">
      <c r="B37" s="8" t="s">
        <v>4</v>
      </c>
      <c r="C37" s="20">
        <v>117867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903360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238157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238157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1380010</v>
      </c>
      <c r="E47" s="6"/>
    </row>
    <row r="48" spans="2:5" ht="16.5" thickBot="1">
      <c r="B48" s="14" t="s">
        <v>2</v>
      </c>
      <c r="C48" s="29">
        <v>765486</v>
      </c>
      <c r="E48" s="6"/>
    </row>
    <row r="49" spans="2:5" ht="16.5" thickBot="1">
      <c r="B49" s="8" t="s">
        <v>19</v>
      </c>
      <c r="C49" s="33">
        <v>609416</v>
      </c>
      <c r="E49" s="6"/>
    </row>
    <row r="50" spans="2:3" ht="16.5" thickBot="1">
      <c r="B50" s="1" t="s">
        <v>10</v>
      </c>
      <c r="C50" s="24">
        <f>SUM(C47:C49)</f>
        <v>2754912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39029599</v>
      </c>
      <c r="F53" s="6"/>
    </row>
    <row r="54" spans="2:6" ht="16.5" thickBot="1">
      <c r="B54" s="14" t="s">
        <v>19</v>
      </c>
      <c r="C54" s="29">
        <v>126274</v>
      </c>
      <c r="F54" s="6"/>
    </row>
    <row r="55" spans="2:3" ht="16.5" thickBot="1">
      <c r="B55" s="1" t="s">
        <v>10</v>
      </c>
      <c r="C55" s="24">
        <f>SUM(C53:C54)</f>
        <v>39155873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13101+322+192205+592+1643+225+588</f>
        <v>208676</v>
      </c>
    </row>
    <row r="59" spans="2:3" ht="15.75">
      <c r="B59" s="8" t="s">
        <v>2</v>
      </c>
      <c r="C59" s="15">
        <f>1+38+3+1025+146</f>
        <v>1213</v>
      </c>
    </row>
    <row r="60" spans="2:3" ht="15.75">
      <c r="B60" s="8" t="s">
        <v>3</v>
      </c>
      <c r="C60" s="15">
        <f>81+89+139+1.405+3+9+121+70</f>
        <v>513.405</v>
      </c>
    </row>
    <row r="61" spans="2:3" ht="15.75">
      <c r="B61" s="8" t="s">
        <v>4</v>
      </c>
      <c r="C61" s="15">
        <f>5.64+5+1.568+10.286+2</f>
        <v>24.494</v>
      </c>
    </row>
    <row r="62" spans="2:3" ht="16.5" thickBot="1">
      <c r="B62" s="8" t="s">
        <v>19</v>
      </c>
      <c r="C62" s="15">
        <f>169+838</f>
        <v>1007</v>
      </c>
    </row>
    <row r="63" spans="2:8" ht="16.5" thickBot="1">
      <c r="B63" s="1" t="s">
        <v>20</v>
      </c>
      <c r="C63" s="24">
        <f>SUM(C58:C62)</f>
        <v>211433.899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46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33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180911053</v>
      </c>
      <c r="E8" s="30"/>
      <c r="F8" s="6"/>
    </row>
    <row r="9" spans="2:7" ht="15.75">
      <c r="B9" s="8" t="s">
        <v>2</v>
      </c>
      <c r="C9" s="15">
        <f>C20+C27+C35</f>
        <v>367367</v>
      </c>
      <c r="G9" s="6"/>
    </row>
    <row r="10" spans="2:6" ht="15.75">
      <c r="B10" s="8" t="s">
        <v>3</v>
      </c>
      <c r="C10" s="15">
        <f>C21+C28+C36+C43+C48</f>
        <v>5672053</v>
      </c>
      <c r="F10" s="6"/>
    </row>
    <row r="11" spans="2:7" ht="15.75">
      <c r="B11" s="8" t="s">
        <v>4</v>
      </c>
      <c r="C11" s="15">
        <f>C22+C29+C37</f>
        <v>400371</v>
      </c>
      <c r="G11" s="6"/>
    </row>
    <row r="12" spans="2:3" ht="15.75">
      <c r="B12" s="8" t="s">
        <v>11</v>
      </c>
      <c r="C12" s="15">
        <f>C30+C54+C49</f>
        <v>761625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188112469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131570674</v>
      </c>
      <c r="F19" s="6"/>
    </row>
    <row r="20" spans="2:6" ht="15.75">
      <c r="B20" s="8" t="s">
        <v>2</v>
      </c>
      <c r="C20" s="18">
        <v>620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131571294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810812</v>
      </c>
      <c r="E26" s="6"/>
      <c r="F26" s="6"/>
    </row>
    <row r="27" spans="2:6" ht="15.75">
      <c r="B27" s="8" t="s">
        <v>2</v>
      </c>
      <c r="C27" s="18">
        <v>364358</v>
      </c>
      <c r="F27" s="10"/>
    </row>
    <row r="28" spans="2:6" ht="15.75">
      <c r="B28" s="8" t="s">
        <v>3</v>
      </c>
      <c r="C28" s="18">
        <f>4344362-C43-40045</f>
        <v>4124657</v>
      </c>
      <c r="E28" s="6"/>
      <c r="F28" s="6"/>
    </row>
    <row r="29" spans="2:5" ht="15.75">
      <c r="B29" s="8" t="s">
        <v>4</v>
      </c>
      <c r="C29" s="18">
        <v>287255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5587082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2389</v>
      </c>
    </row>
    <row r="36" spans="2:3" ht="15.75">
      <c r="B36" s="8" t="s">
        <v>3</v>
      </c>
      <c r="C36" s="20">
        <v>669443</v>
      </c>
    </row>
    <row r="37" spans="2:3" ht="15.75">
      <c r="B37" s="8" t="s">
        <v>4</v>
      </c>
      <c r="C37" s="20">
        <v>113116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784948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179660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179660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768546</v>
      </c>
      <c r="E47" s="6"/>
    </row>
    <row r="48" spans="2:5" ht="16.5" thickBot="1">
      <c r="B48" s="14" t="s">
        <v>2</v>
      </c>
      <c r="C48" s="29">
        <v>698293</v>
      </c>
      <c r="E48" s="6"/>
    </row>
    <row r="49" spans="2:5" ht="16.5" thickBot="1">
      <c r="B49" s="8" t="s">
        <v>19</v>
      </c>
      <c r="C49" s="33">
        <v>647092</v>
      </c>
      <c r="E49" s="6"/>
    </row>
    <row r="50" spans="2:3" ht="16.5" thickBot="1">
      <c r="B50" s="1" t="s">
        <v>10</v>
      </c>
      <c r="C50" s="24">
        <f>SUM(C47:C49)</f>
        <v>2113931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47761021</v>
      </c>
      <c r="F53" s="6"/>
    </row>
    <row r="54" spans="2:6" ht="16.5" thickBot="1">
      <c r="B54" s="14" t="s">
        <v>19</v>
      </c>
      <c r="C54" s="29">
        <v>114533</v>
      </c>
      <c r="F54" s="6"/>
    </row>
    <row r="55" spans="2:3" ht="16.5" thickBot="1">
      <c r="B55" s="1" t="s">
        <v>10</v>
      </c>
      <c r="C55" s="24">
        <f>SUM(C53:C54)</f>
        <v>47875554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795+185772+257+13637+570+667+169+45027</f>
        <v>246894</v>
      </c>
    </row>
    <row r="59" spans="2:3" ht="15.75">
      <c r="B59" s="8" t="s">
        <v>2</v>
      </c>
      <c r="C59" s="15">
        <f>12+1+3+967+124+1</f>
        <v>1108</v>
      </c>
    </row>
    <row r="60" spans="2:3" ht="15.75">
      <c r="B60" s="8" t="s">
        <v>3</v>
      </c>
      <c r="C60" s="15">
        <f>20+134+89+30+73+9+1.527+3</f>
        <v>359.527</v>
      </c>
    </row>
    <row r="61" spans="2:3" ht="15.75">
      <c r="B61" s="8" t="s">
        <v>4</v>
      </c>
      <c r="C61" s="15">
        <f>10.141+2+1.544+6.005+5</f>
        <v>24.69</v>
      </c>
    </row>
    <row r="62" spans="2:3" ht="16.5" thickBot="1">
      <c r="B62" s="8" t="s">
        <v>19</v>
      </c>
      <c r="C62" s="15">
        <f>163+919</f>
        <v>1082</v>
      </c>
    </row>
    <row r="63" spans="2:8" ht="16.5" thickBot="1">
      <c r="B63" s="1" t="s">
        <v>20</v>
      </c>
      <c r="C63" s="24">
        <f>SUM(C58:C62)</f>
        <v>249468.217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47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34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166272089</v>
      </c>
      <c r="E8" s="30"/>
      <c r="F8" s="6"/>
    </row>
    <row r="9" spans="2:7" ht="15.75">
      <c r="B9" s="8" t="s">
        <v>2</v>
      </c>
      <c r="C9" s="15">
        <f>C20+C27+C35</f>
        <v>320855</v>
      </c>
      <c r="G9" s="6"/>
    </row>
    <row r="10" spans="2:6" ht="15.75">
      <c r="B10" s="8" t="s">
        <v>3</v>
      </c>
      <c r="C10" s="15">
        <f>C21+C28+C36+C43+C48</f>
        <v>4684228</v>
      </c>
      <c r="F10" s="6"/>
    </row>
    <row r="11" spans="2:7" ht="15.75">
      <c r="B11" s="8" t="s">
        <v>4</v>
      </c>
      <c r="C11" s="15">
        <f>C22+C29+C37</f>
        <v>339691</v>
      </c>
      <c r="G11" s="6"/>
    </row>
    <row r="12" spans="2:3" ht="15.75">
      <c r="B12" s="8" t="s">
        <v>11</v>
      </c>
      <c r="C12" s="15">
        <f>C30+C54+C49</f>
        <v>770132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172386995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130264300</v>
      </c>
      <c r="F19" s="6"/>
    </row>
    <row r="20" spans="2:6" ht="15.75">
      <c r="B20" s="8" t="s">
        <v>2</v>
      </c>
      <c r="C20" s="18">
        <v>7575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130271875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771054</v>
      </c>
      <c r="E26" s="6"/>
      <c r="F26" s="6"/>
    </row>
    <row r="27" spans="2:6" ht="15.75">
      <c r="B27" s="8" t="s">
        <v>2</v>
      </c>
      <c r="C27" s="18">
        <v>310570</v>
      </c>
      <c r="F27" s="10"/>
    </row>
    <row r="28" spans="2:6" ht="15.75">
      <c r="B28" s="8" t="s">
        <v>3</v>
      </c>
      <c r="C28" s="18">
        <f>3469690-C45-13741</f>
        <v>3303247</v>
      </c>
      <c r="E28" s="6"/>
      <c r="F28" s="6"/>
    </row>
    <row r="29" spans="2:5" ht="15.75">
      <c r="B29" s="8" t="s">
        <v>4</v>
      </c>
      <c r="C29" s="18">
        <v>222411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4607282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2710</v>
      </c>
    </row>
    <row r="36" spans="2:3" ht="15.75">
      <c r="B36" s="8" t="s">
        <v>3</v>
      </c>
      <c r="C36" s="20">
        <v>506938</v>
      </c>
    </row>
    <row r="37" spans="2:3" ht="15.75">
      <c r="B37" s="8" t="s">
        <v>4</v>
      </c>
      <c r="C37" s="20">
        <v>117280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626928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152702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152702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484171</v>
      </c>
      <c r="E47" s="6"/>
    </row>
    <row r="48" spans="2:5" ht="16.5" thickBot="1">
      <c r="B48" s="14" t="s">
        <v>2</v>
      </c>
      <c r="C48" s="29">
        <v>721341</v>
      </c>
      <c r="E48" s="6"/>
    </row>
    <row r="49" spans="2:5" ht="16.5" thickBot="1">
      <c r="B49" s="8" t="s">
        <v>19</v>
      </c>
      <c r="C49" s="33">
        <v>601821</v>
      </c>
      <c r="E49" s="6"/>
    </row>
    <row r="50" spans="2:3" ht="16.5" thickBot="1">
      <c r="B50" s="1" t="s">
        <v>10</v>
      </c>
      <c r="C50" s="24">
        <f>SUM(C47:C49)</f>
        <v>1807333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34752564</v>
      </c>
      <c r="F53" s="6"/>
    </row>
    <row r="54" spans="2:6" ht="16.5" thickBot="1">
      <c r="B54" s="14" t="s">
        <v>19</v>
      </c>
      <c r="C54" s="29">
        <v>168311</v>
      </c>
      <c r="F54" s="6"/>
    </row>
    <row r="55" spans="2:3" ht="16.5" thickBot="1">
      <c r="B55" s="1" t="s">
        <v>10</v>
      </c>
      <c r="C55" s="24">
        <f>SUM(C53:C54)</f>
        <v>34920875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252+79+444+663+477+9907+176024+28377</f>
        <v>216223</v>
      </c>
    </row>
    <row r="59" spans="2:3" ht="15.75">
      <c r="B59" s="8" t="s">
        <v>2</v>
      </c>
      <c r="C59" s="15">
        <f>4+971+74+1+10</f>
        <v>1060</v>
      </c>
    </row>
    <row r="60" spans="2:3" ht="15.75">
      <c r="B60" s="8" t="s">
        <v>3</v>
      </c>
      <c r="C60" s="15">
        <f>79+130+16+1+1.686+3+8</f>
        <v>238.686</v>
      </c>
    </row>
    <row r="61" spans="2:3" ht="15.75">
      <c r="B61" s="8" t="s">
        <v>4</v>
      </c>
      <c r="C61" s="15">
        <f>1.272+6.116+5+8.976+1</f>
        <v>22.364</v>
      </c>
    </row>
    <row r="62" spans="2:3" ht="16.5" thickBot="1">
      <c r="B62" s="8" t="s">
        <v>19</v>
      </c>
      <c r="C62" s="15">
        <f>823+229</f>
        <v>1052</v>
      </c>
    </row>
    <row r="63" spans="2:8" ht="16.5" thickBot="1">
      <c r="B63" s="1" t="s">
        <v>20</v>
      </c>
      <c r="C63" s="24">
        <f>SUM(C58:C62)</f>
        <v>218596.05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46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35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181205964</v>
      </c>
      <c r="E8" s="30"/>
      <c r="F8" s="6"/>
    </row>
    <row r="9" spans="2:7" ht="15.75">
      <c r="B9" s="8" t="s">
        <v>2</v>
      </c>
      <c r="C9" s="15">
        <f>C20+C27+C35</f>
        <v>313183</v>
      </c>
      <c r="G9" s="6"/>
    </row>
    <row r="10" spans="2:6" ht="15.75">
      <c r="B10" s="8" t="s">
        <v>3</v>
      </c>
      <c r="C10" s="15">
        <f>C21+C28+C36+C43+C48</f>
        <v>4818139</v>
      </c>
      <c r="F10" s="6"/>
    </row>
    <row r="11" spans="2:7" ht="15.75">
      <c r="B11" s="8" t="s">
        <v>4</v>
      </c>
      <c r="C11" s="15">
        <f>C22+C29+C37</f>
        <v>351993</v>
      </c>
      <c r="G11" s="6"/>
    </row>
    <row r="12" spans="2:3" ht="15.75">
      <c r="B12" s="8" t="s">
        <v>11</v>
      </c>
      <c r="C12" s="15">
        <f>C30+C54+C49</f>
        <v>776494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187465773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140150699</v>
      </c>
      <c r="F19" s="6"/>
    </row>
    <row r="20" spans="2:6" ht="15.75">
      <c r="B20" s="8" t="s">
        <v>2</v>
      </c>
      <c r="C20" s="18">
        <v>80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140150779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839902</v>
      </c>
      <c r="E26" s="6"/>
      <c r="F26" s="6"/>
    </row>
    <row r="27" spans="2:6" ht="15.75">
      <c r="B27" s="8" t="s">
        <v>2</v>
      </c>
      <c r="C27" s="18">
        <v>310538</v>
      </c>
      <c r="F27" s="10"/>
    </row>
    <row r="28" spans="2:6" ht="15.75">
      <c r="B28" s="8" t="s">
        <v>3</v>
      </c>
      <c r="C28" s="18">
        <f>3596999-C43-22368</f>
        <v>3396712</v>
      </c>
      <c r="E28" s="6"/>
      <c r="F28" s="6"/>
    </row>
    <row r="29" spans="2:5" ht="15.75">
      <c r="B29" s="8" t="s">
        <v>4</v>
      </c>
      <c r="C29" s="18">
        <v>237989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4785141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2565</v>
      </c>
    </row>
    <row r="36" spans="2:3" ht="15.75">
      <c r="B36" s="8" t="s">
        <v>3</v>
      </c>
      <c r="C36" s="20">
        <v>517402</v>
      </c>
    </row>
    <row r="37" spans="2:3" ht="15.75">
      <c r="B37" s="8" t="s">
        <v>4</v>
      </c>
      <c r="C37" s="20">
        <v>114004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633971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177919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177919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497377</v>
      </c>
      <c r="E47" s="6"/>
    </row>
    <row r="48" spans="2:5" ht="16.5" thickBot="1">
      <c r="B48" s="14" t="s">
        <v>2</v>
      </c>
      <c r="C48" s="29">
        <v>726106</v>
      </c>
      <c r="E48" s="6"/>
    </row>
    <row r="49" spans="2:5" ht="16.5" thickBot="1">
      <c r="B49" s="8" t="s">
        <v>19</v>
      </c>
      <c r="C49" s="33">
        <v>599173</v>
      </c>
      <c r="E49" s="6"/>
    </row>
    <row r="50" spans="2:3" ht="16.5" thickBot="1">
      <c r="B50" s="1" t="s">
        <v>10</v>
      </c>
      <c r="C50" s="24">
        <f>SUM(C47:C49)</f>
        <v>1822656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39717986</v>
      </c>
      <c r="F53" s="6"/>
    </row>
    <row r="54" spans="2:6" ht="16.5" thickBot="1">
      <c r="B54" s="14" t="s">
        <v>19</v>
      </c>
      <c r="C54" s="29">
        <v>177321</v>
      </c>
      <c r="F54" s="6"/>
    </row>
    <row r="55" spans="2:3" ht="16.5" thickBot="1">
      <c r="B55" s="1" t="s">
        <v>10</v>
      </c>
      <c r="C55" s="24">
        <f>SUM(C53:C54)</f>
        <v>39895307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532+522+538+106+607+190361+39644+216+11078</f>
        <v>243604</v>
      </c>
    </row>
    <row r="59" spans="2:3" ht="15.75">
      <c r="B59" s="8" t="s">
        <v>2</v>
      </c>
      <c r="C59" s="15">
        <f>1+1+975+1+78+3</f>
        <v>1059</v>
      </c>
    </row>
    <row r="60" spans="2:3" ht="15.75">
      <c r="B60" s="8" t="s">
        <v>3</v>
      </c>
      <c r="C60" s="15">
        <f>1+1+148+78+16+9+1.52+3</f>
        <v>257.52</v>
      </c>
    </row>
    <row r="61" spans="2:3" ht="15.75">
      <c r="B61" s="8" t="s">
        <v>4</v>
      </c>
      <c r="C61" s="15">
        <f>14.505+2+5.524+5+1.54</f>
        <v>28.569000000000003</v>
      </c>
    </row>
    <row r="62" spans="2:3" ht="16.5" thickBot="1">
      <c r="B62" s="8" t="s">
        <v>19</v>
      </c>
      <c r="C62" s="15">
        <f>819+232</f>
        <v>1051</v>
      </c>
    </row>
    <row r="63" spans="2:8" ht="16.5" thickBot="1">
      <c r="B63" s="1" t="s">
        <v>20</v>
      </c>
      <c r="C63" s="24">
        <f>SUM(C58:C62)</f>
        <v>246000.08899999998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4"/>
  <sheetViews>
    <sheetView zoomScalePageLayoutView="0" workbookViewId="0" topLeftCell="A41">
      <selection activeCell="A66" sqref="A66:IV68"/>
    </sheetView>
  </sheetViews>
  <sheetFormatPr defaultColWidth="9.140625" defaultRowHeight="12.75"/>
  <cols>
    <col min="1" max="1" width="9.140625" style="3" customWidth="1"/>
    <col min="2" max="2" width="55.00390625" style="3" customWidth="1"/>
    <col min="3" max="3" width="20.28125" style="12" customWidth="1"/>
    <col min="4" max="4" width="9.140625" style="3" customWidth="1"/>
    <col min="5" max="5" width="12.421875" style="3" bestFit="1" customWidth="1"/>
    <col min="6" max="6" width="14.8515625" style="3" customWidth="1"/>
    <col min="7" max="7" width="14.28125" style="3" bestFit="1" customWidth="1"/>
    <col min="8" max="16384" width="9.140625" style="3" customWidth="1"/>
  </cols>
  <sheetData>
    <row r="2" spans="1:5" ht="15.75">
      <c r="A2" s="44" t="s">
        <v>24</v>
      </c>
      <c r="B2" s="44"/>
      <c r="C2" s="44"/>
      <c r="D2" s="44"/>
      <c r="E2" s="44"/>
    </row>
    <row r="3" spans="2:4" ht="16.5" thickBot="1">
      <c r="B3" s="4"/>
      <c r="C3" s="26"/>
      <c r="D3" s="5"/>
    </row>
    <row r="4" spans="2:3" ht="12.75" customHeight="1">
      <c r="B4" s="45" t="s">
        <v>8</v>
      </c>
      <c r="C4" s="47" t="s">
        <v>9</v>
      </c>
    </row>
    <row r="5" spans="2:3" ht="16.5" thickBot="1">
      <c r="B5" s="46"/>
      <c r="C5" s="48"/>
    </row>
    <row r="6" spans="2:3" ht="15.75">
      <c r="B6" s="22" t="s">
        <v>36</v>
      </c>
      <c r="C6" s="27"/>
    </row>
    <row r="7" spans="2:3" ht="16.5" thickBot="1">
      <c r="B7" s="22" t="s">
        <v>0</v>
      </c>
      <c r="C7" s="28"/>
    </row>
    <row r="8" spans="2:6" ht="15.75">
      <c r="B8" s="7" t="s">
        <v>1</v>
      </c>
      <c r="C8" s="16">
        <f>C19+C26+C34+C47+C53</f>
        <v>170173161</v>
      </c>
      <c r="E8" s="30"/>
      <c r="F8" s="6"/>
    </row>
    <row r="9" spans="2:7" ht="15.75">
      <c r="B9" s="8" t="s">
        <v>2</v>
      </c>
      <c r="C9" s="15">
        <f>C20+C27+C35</f>
        <v>457751</v>
      </c>
      <c r="G9" s="6"/>
    </row>
    <row r="10" spans="2:6" ht="15.75">
      <c r="B10" s="8" t="s">
        <v>3</v>
      </c>
      <c r="C10" s="15">
        <f>C21+C28+C36+C43+C48</f>
        <v>7102327</v>
      </c>
      <c r="F10" s="6"/>
    </row>
    <row r="11" spans="2:7" ht="15.75">
      <c r="B11" s="8" t="s">
        <v>4</v>
      </c>
      <c r="C11" s="15">
        <f>C22+C29+C37</f>
        <v>424269</v>
      </c>
      <c r="G11" s="6"/>
    </row>
    <row r="12" spans="2:3" ht="15.75">
      <c r="B12" s="8" t="s">
        <v>11</v>
      </c>
      <c r="C12" s="15">
        <f>C30+C54+C49</f>
        <v>729355</v>
      </c>
    </row>
    <row r="13" spans="2:6" ht="15.75">
      <c r="B13" s="8" t="s">
        <v>5</v>
      </c>
      <c r="C13" s="11">
        <f>C38</f>
        <v>0</v>
      </c>
      <c r="F13" s="6"/>
    </row>
    <row r="14" spans="2:6" ht="15.75">
      <c r="B14" s="8" t="s">
        <v>6</v>
      </c>
      <c r="C14" s="11">
        <f>C39+C44</f>
        <v>0</v>
      </c>
      <c r="E14" s="6"/>
      <c r="F14" s="6"/>
    </row>
    <row r="15" spans="2:6" ht="16.5" thickBot="1">
      <c r="B15" s="9" t="s">
        <v>12</v>
      </c>
      <c r="C15" s="11">
        <f>C40</f>
        <v>0</v>
      </c>
      <c r="E15" s="6"/>
      <c r="F15" s="6"/>
    </row>
    <row r="16" spans="2:8" ht="16.5" thickBot="1">
      <c r="B16" s="1" t="s">
        <v>10</v>
      </c>
      <c r="C16" s="24">
        <f>SUM(C8:C15)</f>
        <v>178886863</v>
      </c>
      <c r="E16" s="6"/>
      <c r="F16" s="6"/>
      <c r="G16" s="6"/>
      <c r="H16" s="6"/>
    </row>
    <row r="17" spans="2:6" ht="15.75">
      <c r="B17" s="22" t="s">
        <v>7</v>
      </c>
      <c r="C17" s="35"/>
      <c r="F17" s="6"/>
    </row>
    <row r="18" spans="2:6" ht="16.5" thickBot="1">
      <c r="B18" s="22" t="s">
        <v>23</v>
      </c>
      <c r="C18" s="34"/>
      <c r="F18" s="6"/>
    </row>
    <row r="19" spans="2:6" ht="15.75">
      <c r="B19" s="7" t="s">
        <v>1</v>
      </c>
      <c r="C19" s="17">
        <v>133977846</v>
      </c>
      <c r="F19" s="6"/>
    </row>
    <row r="20" spans="2:6" ht="15.75">
      <c r="B20" s="8" t="s">
        <v>2</v>
      </c>
      <c r="C20" s="18">
        <v>0</v>
      </c>
      <c r="F20" s="6"/>
    </row>
    <row r="21" spans="2:6" ht="15.75">
      <c r="B21" s="8" t="s">
        <v>3</v>
      </c>
      <c r="C21" s="18">
        <v>0</v>
      </c>
      <c r="F21" s="6"/>
    </row>
    <row r="22" spans="2:6" ht="15.75">
      <c r="B22" s="8" t="s">
        <v>4</v>
      </c>
      <c r="C22" s="18">
        <v>0</v>
      </c>
      <c r="F22" s="6"/>
    </row>
    <row r="23" spans="2:6" ht="16.5" thickBot="1">
      <c r="B23" s="8" t="s">
        <v>13</v>
      </c>
      <c r="C23" s="18"/>
      <c r="F23" s="6"/>
    </row>
    <row r="24" spans="2:6" ht="16.5" thickBot="1">
      <c r="B24" s="1" t="s">
        <v>10</v>
      </c>
      <c r="C24" s="24">
        <f>SUM(C19:C23)</f>
        <v>133977846</v>
      </c>
      <c r="F24" s="6"/>
    </row>
    <row r="25" spans="2:3" ht="16.5" thickBot="1">
      <c r="B25" s="22" t="s">
        <v>25</v>
      </c>
      <c r="C25" s="34"/>
    </row>
    <row r="26" spans="2:6" ht="15.75">
      <c r="B26" s="7" t="s">
        <v>1</v>
      </c>
      <c r="C26" s="17">
        <v>855615</v>
      </c>
      <c r="E26" s="6"/>
      <c r="F26" s="6"/>
    </row>
    <row r="27" spans="2:6" ht="15.75">
      <c r="B27" s="8" t="s">
        <v>2</v>
      </c>
      <c r="C27" s="18">
        <v>455385</v>
      </c>
      <c r="F27" s="10"/>
    </row>
    <row r="28" spans="2:6" ht="15.75">
      <c r="B28" s="8" t="s">
        <v>3</v>
      </c>
      <c r="C28" s="18">
        <f>5416975-C45+386533</f>
        <v>5624531</v>
      </c>
      <c r="E28" s="6"/>
      <c r="F28" s="6"/>
    </row>
    <row r="29" spans="2:5" ht="15.75">
      <c r="B29" s="8" t="s">
        <v>4</v>
      </c>
      <c r="C29" s="18">
        <v>289503</v>
      </c>
      <c r="E29" s="6"/>
    </row>
    <row r="30" spans="2:5" ht="15.75">
      <c r="B30" s="8" t="s">
        <v>19</v>
      </c>
      <c r="C30" s="33">
        <v>0</v>
      </c>
      <c r="E30" s="6"/>
    </row>
    <row r="31" spans="2:6" ht="16.5" thickBot="1">
      <c r="B31" s="9" t="s">
        <v>14</v>
      </c>
      <c r="C31" s="11">
        <v>0</v>
      </c>
      <c r="F31" s="6"/>
    </row>
    <row r="32" spans="2:6" ht="16.5" thickBot="1">
      <c r="B32" s="1" t="s">
        <v>10</v>
      </c>
      <c r="C32" s="24">
        <f>SUM(C26:C31)</f>
        <v>7225034</v>
      </c>
      <c r="E32" s="6"/>
      <c r="F32" s="6"/>
    </row>
    <row r="33" spans="2:6" ht="16.5" thickBot="1">
      <c r="B33" s="22" t="s">
        <v>15</v>
      </c>
      <c r="C33" s="34"/>
      <c r="F33" s="6"/>
    </row>
    <row r="34" spans="2:6" ht="15.75">
      <c r="B34" s="7" t="s">
        <v>16</v>
      </c>
      <c r="C34" s="19">
        <v>0</v>
      </c>
      <c r="F34" s="6"/>
    </row>
    <row r="35" spans="2:3" ht="15.75">
      <c r="B35" s="8" t="s">
        <v>2</v>
      </c>
      <c r="C35" s="20">
        <v>2366</v>
      </c>
    </row>
    <row r="36" spans="2:3" ht="15.75">
      <c r="B36" s="8" t="s">
        <v>3</v>
      </c>
      <c r="C36" s="20">
        <v>590606</v>
      </c>
    </row>
    <row r="37" spans="2:3" ht="15.75">
      <c r="B37" s="8" t="s">
        <v>4</v>
      </c>
      <c r="C37" s="20">
        <v>134766</v>
      </c>
    </row>
    <row r="38" spans="2:7" ht="15.75">
      <c r="B38" s="8" t="s">
        <v>5</v>
      </c>
      <c r="C38" s="20">
        <v>0</v>
      </c>
      <c r="F38" s="6"/>
      <c r="G38" s="6"/>
    </row>
    <row r="39" spans="2:7" ht="15.75">
      <c r="B39" s="8" t="s">
        <v>6</v>
      </c>
      <c r="C39" s="20">
        <v>0</v>
      </c>
      <c r="E39" s="12"/>
      <c r="F39" s="13"/>
      <c r="G39" s="12"/>
    </row>
    <row r="40" spans="2:7" ht="16.5" thickBot="1">
      <c r="B40" s="14" t="s">
        <v>12</v>
      </c>
      <c r="C40" s="21">
        <v>0</v>
      </c>
      <c r="E40" s="12"/>
      <c r="F40" s="13"/>
      <c r="G40" s="12"/>
    </row>
    <row r="41" spans="2:6" ht="16.5" thickBot="1">
      <c r="B41" s="1" t="s">
        <v>10</v>
      </c>
      <c r="C41" s="24">
        <f>SUM(C34:C40)</f>
        <v>727738</v>
      </c>
      <c r="F41" s="6"/>
    </row>
    <row r="42" spans="2:6" ht="16.5" thickBot="1">
      <c r="B42" s="22" t="s">
        <v>17</v>
      </c>
      <c r="C42" s="34"/>
      <c r="F42" s="6"/>
    </row>
    <row r="43" spans="2:6" ht="15.75">
      <c r="B43" s="7" t="s">
        <v>3</v>
      </c>
      <c r="C43" s="16">
        <v>178977</v>
      </c>
      <c r="F43" s="6"/>
    </row>
    <row r="44" spans="2:6" ht="16.5" thickBot="1">
      <c r="B44" s="8" t="s">
        <v>6</v>
      </c>
      <c r="C44" s="15">
        <v>0</v>
      </c>
      <c r="F44" s="6"/>
    </row>
    <row r="45" spans="2:6" ht="16.5" thickBot="1">
      <c r="B45" s="1" t="s">
        <v>10</v>
      </c>
      <c r="C45" s="24">
        <f>SUM(C43:C44)</f>
        <v>178977</v>
      </c>
      <c r="F45" s="6"/>
    </row>
    <row r="46" spans="2:6" ht="16.5" thickBot="1">
      <c r="B46" s="49" t="s">
        <v>26</v>
      </c>
      <c r="C46" s="49"/>
      <c r="D46" s="49"/>
      <c r="E46" s="49"/>
      <c r="F46" s="6"/>
    </row>
    <row r="47" spans="2:5" ht="16.5" thickBot="1">
      <c r="B47" s="31" t="s">
        <v>1</v>
      </c>
      <c r="C47" s="32">
        <v>940256</v>
      </c>
      <c r="E47" s="6"/>
    </row>
    <row r="48" spans="2:5" ht="16.5" thickBot="1">
      <c r="B48" s="14" t="s">
        <v>2</v>
      </c>
      <c r="C48" s="29">
        <v>708213</v>
      </c>
      <c r="E48" s="6"/>
    </row>
    <row r="49" spans="2:5" ht="16.5" thickBot="1">
      <c r="B49" s="8" t="s">
        <v>19</v>
      </c>
      <c r="C49" s="33">
        <v>549176</v>
      </c>
      <c r="E49" s="6"/>
    </row>
    <row r="50" spans="2:3" ht="16.5" thickBot="1">
      <c r="B50" s="1" t="s">
        <v>10</v>
      </c>
      <c r="C50" s="24">
        <f>SUM(C47:C49)</f>
        <v>2197645</v>
      </c>
    </row>
    <row r="51" spans="2:3" ht="15.75">
      <c r="B51" s="2"/>
      <c r="C51" s="25"/>
    </row>
    <row r="52" spans="2:6" ht="16.5" thickBot="1">
      <c r="B52" s="49" t="s">
        <v>27</v>
      </c>
      <c r="C52" s="49"/>
      <c r="D52" s="49"/>
      <c r="E52" s="49"/>
      <c r="F52" s="6"/>
    </row>
    <row r="53" spans="2:6" ht="16.5" thickBot="1">
      <c r="B53" s="31" t="s">
        <v>1</v>
      </c>
      <c r="C53" s="32">
        <v>34399444</v>
      </c>
      <c r="F53" s="6"/>
    </row>
    <row r="54" spans="2:6" ht="16.5" thickBot="1">
      <c r="B54" s="14" t="s">
        <v>19</v>
      </c>
      <c r="C54" s="29">
        <v>180179</v>
      </c>
      <c r="F54" s="6"/>
    </row>
    <row r="55" spans="2:3" ht="16.5" thickBot="1">
      <c r="B55" s="1" t="s">
        <v>10</v>
      </c>
      <c r="C55" s="24">
        <f>SUM(C53:C54)</f>
        <v>34579623</v>
      </c>
    </row>
    <row r="56" spans="2:3" ht="15.75">
      <c r="B56" s="2"/>
      <c r="C56" s="36"/>
    </row>
    <row r="57" spans="2:3" ht="16.5" thickBot="1">
      <c r="B57" s="23" t="s">
        <v>18</v>
      </c>
      <c r="C57" s="37"/>
    </row>
    <row r="58" spans="2:3" ht="15.75">
      <c r="B58" s="7" t="s">
        <v>1</v>
      </c>
      <c r="C58" s="16">
        <f>186848+11768+36900+277+1099+1031+588+599</f>
        <v>239110</v>
      </c>
    </row>
    <row r="59" spans="2:3" ht="15.75">
      <c r="B59" s="8" t="s">
        <v>2</v>
      </c>
      <c r="C59" s="15">
        <f>5+4+161+3+979</f>
        <v>1152</v>
      </c>
    </row>
    <row r="60" spans="2:3" ht="15.75">
      <c r="B60" s="8" t="s">
        <v>3</v>
      </c>
      <c r="C60" s="15">
        <f>1+1+21+3+58+143+1.429+3+8</f>
        <v>239.429</v>
      </c>
    </row>
    <row r="61" spans="2:3" ht="15.75">
      <c r="B61" s="8" t="s">
        <v>4</v>
      </c>
      <c r="C61" s="15">
        <f>5.37+5+1.586+10.273+2</f>
        <v>24.229</v>
      </c>
    </row>
    <row r="62" spans="2:3" ht="16.5" thickBot="1">
      <c r="B62" s="8" t="s">
        <v>19</v>
      </c>
      <c r="C62" s="15">
        <f>250+747</f>
        <v>997</v>
      </c>
    </row>
    <row r="63" spans="2:8" ht="16.5" thickBot="1">
      <c r="B63" s="1" t="s">
        <v>20</v>
      </c>
      <c r="C63" s="24">
        <f>SUM(C58:C62)</f>
        <v>241522.658</v>
      </c>
      <c r="E63" s="6"/>
      <c r="F63" s="6"/>
      <c r="H63" s="6"/>
    </row>
    <row r="64" spans="2:3" ht="15.75">
      <c r="B64" s="2"/>
      <c r="C64" s="25"/>
    </row>
  </sheetData>
  <sheetProtection/>
  <mergeCells count="5">
    <mergeCell ref="A2:E2"/>
    <mergeCell ref="B4:B5"/>
    <mergeCell ref="C4:C5"/>
    <mergeCell ref="B46:E46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2016-09-14T09:56:00Z</cp:lastPrinted>
  <dcterms:created xsi:type="dcterms:W3CDTF">2011-05-20T10:40:08Z</dcterms:created>
  <dcterms:modified xsi:type="dcterms:W3CDTF">2019-02-15T12:08:32Z</dcterms:modified>
  <cp:category/>
  <cp:version/>
  <cp:contentType/>
  <cp:contentStatus/>
</cp:coreProperties>
</file>