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<sst xmlns="http://schemas.openxmlformats.org/spreadsheetml/2006/main" count="792" uniqueCount="40">
  <si>
    <t>Всего:</t>
  </si>
  <si>
    <t>диапазон напряжения ВН</t>
  </si>
  <si>
    <t>диапазон напряжения СН1</t>
  </si>
  <si>
    <t>диапазон напряжения СН2</t>
  </si>
  <si>
    <t>диапазон напряжения НН</t>
  </si>
  <si>
    <t>В том числе:</t>
  </si>
  <si>
    <t>Наименование</t>
  </si>
  <si>
    <t>количество, кВтч</t>
  </si>
  <si>
    <t>Всего, кВтч</t>
  </si>
  <si>
    <t>генераторное напряжение</t>
  </si>
  <si>
    <t>Генераторное напряжение</t>
  </si>
  <si>
    <t xml:space="preserve">1.3. Отпуск электроэнергии через сети  МУП "КГЭС" </t>
  </si>
  <si>
    <t>диапазон напряжения ВН (СН КГЭС)</t>
  </si>
  <si>
    <t xml:space="preserve">1.4. Отпуск электроэнергии через сети  МУП "АЭСК" </t>
  </si>
  <si>
    <t>2. Отпуск мощности</t>
  </si>
  <si>
    <t>диапазон напряжения ГН</t>
  </si>
  <si>
    <t>Всего, кВт</t>
  </si>
  <si>
    <t>1. Отпуск электроэнергии за январь</t>
  </si>
  <si>
    <t>1.1. Отпуск электроэнергии через сети  филиала ОАО "МРСК Северо-Запада" "Колэнерго" ( для ОАО "Апатит")</t>
  </si>
  <si>
    <t>Отчет об объеме фактического полезного отпуска электрической энергии (мощности) потребителям</t>
  </si>
  <si>
    <t>Начальник СОРЭМ</t>
  </si>
  <si>
    <t>А. А. Кузьмичёв</t>
  </si>
  <si>
    <t>1.2. Отпуск электроэнергии через сети  ОАО "Апатит" ( для стор. потребителей, без КГЭС )</t>
  </si>
  <si>
    <t xml:space="preserve">1.5. Отпуск электроэнергии через сети филиала ОАО "МРСК Северо-Запада" "Колэнерго" </t>
  </si>
  <si>
    <t>1.6. Отпуск электроэнергии через сети филиала ПАО "МРСК Волги"</t>
  </si>
  <si>
    <t>Инженер 1 категории БОРЭМ СОРЭМ</t>
  </si>
  <si>
    <t>А.С. Хлыстова</t>
  </si>
  <si>
    <t>1.7. Отпуск электроэнергии по сетям Ленинградской области</t>
  </si>
  <si>
    <t>прочие</t>
  </si>
  <si>
    <t>1. Отпуск электроэнергии за февраль</t>
  </si>
  <si>
    <t>1. Отпуск электроэнергии за март</t>
  </si>
  <si>
    <t>1. Отпуск электроэнергии за апрель</t>
  </si>
  <si>
    <t>1. Отпуск электроэнергии за май</t>
  </si>
  <si>
    <t>1. Отпуск электроэнергии за июнь</t>
  </si>
  <si>
    <t>1. Отпуск электроэнергии за июль</t>
  </si>
  <si>
    <t>1. Отпуск электроэнергии за август</t>
  </si>
  <si>
    <t>1. Отпуск электроэнергии за сентябрь</t>
  </si>
  <si>
    <t>1. Отпуск электроэнергии за октябрь</t>
  </si>
  <si>
    <t>1. Отпуск электроэнергии за ноябрь</t>
  </si>
  <si>
    <t>1. Отпуск электроэнергии за декабрь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</si>
</sst>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#,##0.00&quot;р.&quot;"/>
    <numFmt numFmtId="195" formatCode="#,##0.0"/>
    <numFmt numFmtId="196" formatCode="#,##0.000"/>
    <numFmt numFmtId="197" formatCode="#,##0.0000"/>
    <numFmt numFmtId="198" formatCode="#,##0&quot;р.&quot;"/>
    <numFmt numFmtId="199" formatCode="#,##0.00000"/>
    <numFmt numFmtId="200" formatCode="#,##0.000000"/>
    <numFmt numFmtId="201" formatCode="0.0"/>
    <numFmt numFmtId="202" formatCode="#,##0.000000&quot;р.&quot;"/>
    <numFmt numFmtId="203" formatCode="[$-F800]dddd\,\ mmmm\ dd\,\ yyyy"/>
    <numFmt numFmtId="204" formatCode="_(* #,##0_);_(* \(#,##0\);_(* &quot;-&quot;??_);_(@_)"/>
    <numFmt numFmtId="205" formatCode="0.0000000000"/>
    <numFmt numFmtId="206" formatCode="0.000000000"/>
    <numFmt numFmtId="207" formatCode="_-* #,##0.00[$€-1]_-;\-* #,##0.00[$€-1]_-;_-* &quot;-&quot;??[$€-1]_-"/>
    <numFmt numFmtId="208" formatCode="General_)"/>
    <numFmt numFmtId="209" formatCode="#,##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sz val="10"/>
      <name val="NTHarmonica"/>
      <family val="0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16" fillId="0" borderId="0" applyFont="0" applyFill="0" applyBorder="0" applyAlignment="0" applyProtection="0"/>
    <xf numFmtId="207" fontId="17" fillId="0" borderId="0" applyFont="0" applyFill="0" applyBorder="0" applyAlignment="0" applyProtection="0"/>
    <xf numFmtId="49" fontId="18" fillId="0" borderId="0" applyBorder="0">
      <alignment vertical="top"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208" fontId="15" fillId="0" borderId="1">
      <alignment/>
      <protection locked="0"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7" applyBorder="0">
      <alignment horizontal="center" vertical="center" wrapText="1"/>
      <protection/>
    </xf>
    <xf numFmtId="208" fontId="22" fillId="28" borderId="1">
      <alignment/>
      <protection/>
    </xf>
    <xf numFmtId="4" fontId="18" fillId="29" borderId="8" applyBorder="0">
      <alignment horizontal="right"/>
      <protection/>
    </xf>
    <xf numFmtId="0" fontId="49" fillId="0" borderId="9" applyNumberFormat="0" applyFill="0" applyAlignment="0" applyProtection="0"/>
    <xf numFmtId="0" fontId="50" fillId="30" borderId="10" applyNumberFormat="0" applyAlignment="0" applyProtection="0"/>
    <xf numFmtId="0" fontId="23" fillId="31" borderId="0" applyFill="0">
      <alignment wrapText="1"/>
      <protection/>
    </xf>
    <xf numFmtId="0" fontId="13" fillId="0" borderId="0">
      <alignment horizontal="center" vertical="top" wrapText="1"/>
      <protection/>
    </xf>
    <xf numFmtId="0" fontId="14" fillId="0" borderId="0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49" fontId="23" fillId="0" borderId="0">
      <alignment horizontal="center"/>
      <protection/>
    </xf>
    <xf numFmtId="17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4" fontId="18" fillId="31" borderId="0" applyFont="0" applyBorder="0">
      <alignment horizontal="right"/>
      <protection/>
    </xf>
    <xf numFmtId="4" fontId="18" fillId="31" borderId="13" applyBorder="0">
      <alignment horizontal="right"/>
      <protection/>
    </xf>
    <xf numFmtId="4" fontId="18" fillId="35" borderId="14" applyBorder="0">
      <alignment horizontal="right"/>
      <protection/>
    </xf>
    <xf numFmtId="0" fontId="57" fillId="36" borderId="0" applyNumberFormat="0" applyBorder="0" applyAlignment="0" applyProtection="0"/>
    <xf numFmtId="0" fontId="9" fillId="0" borderId="15" applyNumberFormat="0" applyFill="0" applyAlignment="0" applyProtection="0"/>
    <xf numFmtId="0" fontId="8" fillId="37" borderId="16" applyNumberFormat="0" applyAlignment="0" applyProtection="0"/>
    <xf numFmtId="0" fontId="7" fillId="38" borderId="0" applyNumberFormat="0" applyBorder="0" applyAlignment="0" applyProtection="0"/>
    <xf numFmtId="0" fontId="6" fillId="39" borderId="17" applyNumberFormat="0" applyFont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11" fillId="0" borderId="18" applyNumberFormat="0" applyFill="0" applyAlignment="0" applyProtection="0"/>
    <xf numFmtId="0" fontId="10" fillId="40" borderId="19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5" fillId="0" borderId="20" xfId="216" applyFont="1" applyBorder="1">
      <alignment/>
      <protection/>
    </xf>
    <xf numFmtId="0" fontId="4" fillId="0" borderId="0" xfId="195" applyFont="1">
      <alignment/>
      <protection/>
    </xf>
    <xf numFmtId="0" fontId="4" fillId="0" borderId="0" xfId="216" applyFont="1">
      <alignment/>
      <protection/>
    </xf>
    <xf numFmtId="0" fontId="5" fillId="0" borderId="0" xfId="216" applyFont="1">
      <alignment/>
      <protection/>
    </xf>
    <xf numFmtId="3" fontId="4" fillId="0" borderId="0" xfId="195" applyNumberFormat="1" applyFont="1">
      <alignment/>
      <protection/>
    </xf>
    <xf numFmtId="0" fontId="4" fillId="0" borderId="13" xfId="216" applyFont="1" applyBorder="1">
      <alignment/>
      <protection/>
    </xf>
    <xf numFmtId="0" fontId="4" fillId="0" borderId="21" xfId="216" applyFont="1" applyBorder="1">
      <alignment/>
      <protection/>
    </xf>
    <xf numFmtId="0" fontId="4" fillId="0" borderId="22" xfId="216" applyFont="1" applyBorder="1">
      <alignment/>
      <protection/>
    </xf>
    <xf numFmtId="0" fontId="4" fillId="0" borderId="0" xfId="195" applyFont="1" applyFill="1">
      <alignment/>
      <protection/>
    </xf>
    <xf numFmtId="0" fontId="4" fillId="0" borderId="23" xfId="216" applyFont="1" applyBorder="1">
      <alignment/>
      <protection/>
    </xf>
    <xf numFmtId="0" fontId="25" fillId="0" borderId="0" xfId="195" applyFont="1" applyBorder="1">
      <alignment/>
      <protection/>
    </xf>
    <xf numFmtId="0" fontId="25" fillId="0" borderId="0" xfId="195" applyFont="1">
      <alignment/>
      <protection/>
    </xf>
    <xf numFmtId="3" fontId="5" fillId="0" borderId="24" xfId="216" applyNumberFormat="1" applyFont="1" applyFill="1" applyBorder="1" applyAlignment="1">
      <alignment horizontal="center"/>
      <protection/>
    </xf>
    <xf numFmtId="0" fontId="5" fillId="0" borderId="0" xfId="216" applyFont="1" applyFill="1">
      <alignment/>
      <protection/>
    </xf>
    <xf numFmtId="0" fontId="5" fillId="0" borderId="0" xfId="195" applyFont="1" applyFill="1" applyBorder="1">
      <alignment/>
      <protection/>
    </xf>
    <xf numFmtId="3" fontId="5" fillId="0" borderId="0" xfId="195" applyNumberFormat="1" applyFont="1" applyFill="1" applyBorder="1">
      <alignment/>
      <protection/>
    </xf>
    <xf numFmtId="0" fontId="58" fillId="0" borderId="0" xfId="195" applyFont="1">
      <alignment/>
      <protection/>
    </xf>
    <xf numFmtId="0" fontId="4" fillId="0" borderId="25" xfId="216" applyFont="1" applyBorder="1">
      <alignment/>
      <protection/>
    </xf>
    <xf numFmtId="3" fontId="58" fillId="0" borderId="0" xfId="216" applyNumberFormat="1" applyFont="1" applyFill="1" applyBorder="1" applyAlignment="1">
      <alignment horizontal="center"/>
      <protection/>
    </xf>
    <xf numFmtId="0" fontId="4" fillId="0" borderId="7" xfId="216" applyFont="1" applyBorder="1">
      <alignment/>
      <protection/>
    </xf>
    <xf numFmtId="0" fontId="59" fillId="0" borderId="0" xfId="195" applyFont="1">
      <alignment/>
      <protection/>
    </xf>
    <xf numFmtId="3" fontId="59" fillId="0" borderId="0" xfId="195" applyNumberFormat="1" applyFont="1">
      <alignment/>
      <protection/>
    </xf>
    <xf numFmtId="0" fontId="58" fillId="0" borderId="0" xfId="216" applyFont="1" applyBorder="1">
      <alignment/>
      <protection/>
    </xf>
    <xf numFmtId="0" fontId="5" fillId="0" borderId="26" xfId="216" applyFont="1" applyBorder="1">
      <alignment/>
      <protection/>
    </xf>
    <xf numFmtId="0" fontId="4" fillId="0" borderId="0" xfId="195" applyFont="1" applyFill="1" applyBorder="1" applyAlignment="1">
      <alignment horizontal="center"/>
      <protection/>
    </xf>
    <xf numFmtId="4" fontId="59" fillId="0" borderId="0" xfId="195" applyNumberFormat="1" applyFont="1">
      <alignment/>
      <protection/>
    </xf>
    <xf numFmtId="0" fontId="59" fillId="0" borderId="0" xfId="195" applyFont="1" applyFill="1">
      <alignment/>
      <protection/>
    </xf>
    <xf numFmtId="3" fontId="60" fillId="0" borderId="14" xfId="216" applyNumberFormat="1" applyFont="1" applyFill="1" applyBorder="1" applyAlignment="1">
      <alignment horizontal="center"/>
      <protection/>
    </xf>
    <xf numFmtId="3" fontId="60" fillId="0" borderId="27" xfId="216" applyNumberFormat="1" applyFont="1" applyFill="1" applyBorder="1" applyAlignment="1">
      <alignment horizontal="center"/>
      <protection/>
    </xf>
    <xf numFmtId="3" fontId="60" fillId="0" borderId="28" xfId="216" applyNumberFormat="1" applyFont="1" applyFill="1" applyBorder="1" applyAlignment="1">
      <alignment horizontal="center"/>
      <protection/>
    </xf>
    <xf numFmtId="3" fontId="60" fillId="0" borderId="29" xfId="216" applyNumberFormat="1" applyFont="1" applyFill="1" applyBorder="1" applyAlignment="1">
      <alignment horizontal="center"/>
      <protection/>
    </xf>
    <xf numFmtId="3" fontId="60" fillId="0" borderId="30" xfId="216" applyNumberFormat="1" applyFont="1" applyFill="1" applyBorder="1" applyAlignment="1">
      <alignment horizontal="center"/>
      <protection/>
    </xf>
    <xf numFmtId="3" fontId="60" fillId="0" borderId="30" xfId="214" applyNumberFormat="1" applyFont="1" applyFill="1" applyBorder="1" applyAlignment="1">
      <alignment horizontal="center"/>
      <protection/>
    </xf>
    <xf numFmtId="3" fontId="60" fillId="0" borderId="14" xfId="215" applyNumberFormat="1" applyFont="1" applyFill="1" applyBorder="1" applyAlignment="1">
      <alignment horizontal="center"/>
      <protection/>
    </xf>
    <xf numFmtId="3" fontId="60" fillId="0" borderId="31" xfId="215" applyNumberFormat="1" applyFont="1" applyFill="1" applyBorder="1" applyAlignment="1">
      <alignment horizontal="center"/>
      <protection/>
    </xf>
    <xf numFmtId="3" fontId="60" fillId="0" borderId="14" xfId="214" applyNumberFormat="1" applyFont="1" applyFill="1" applyBorder="1" applyAlignment="1">
      <alignment horizontal="center"/>
      <protection/>
    </xf>
    <xf numFmtId="3" fontId="60" fillId="0" borderId="31" xfId="214" applyNumberFormat="1" applyFont="1" applyFill="1" applyBorder="1" applyAlignment="1">
      <alignment horizontal="center"/>
      <protection/>
    </xf>
    <xf numFmtId="3" fontId="61" fillId="0" borderId="24" xfId="216" applyNumberFormat="1" applyFont="1" applyFill="1" applyBorder="1" applyAlignment="1">
      <alignment horizontal="center"/>
      <protection/>
    </xf>
    <xf numFmtId="0" fontId="4" fillId="0" borderId="32" xfId="216" applyFont="1" applyBorder="1">
      <alignment/>
      <protection/>
    </xf>
    <xf numFmtId="3" fontId="60" fillId="0" borderId="31" xfId="216" applyNumberFormat="1" applyFont="1" applyFill="1" applyBorder="1" applyAlignment="1">
      <alignment horizontal="center"/>
      <protection/>
    </xf>
    <xf numFmtId="3" fontId="60" fillId="0" borderId="33" xfId="216" applyNumberFormat="1" applyFont="1" applyFill="1" applyBorder="1" applyAlignment="1">
      <alignment horizontal="center"/>
      <protection/>
    </xf>
    <xf numFmtId="0" fontId="4" fillId="0" borderId="26" xfId="216" applyFont="1" applyBorder="1">
      <alignment/>
      <protection/>
    </xf>
    <xf numFmtId="3" fontId="60" fillId="0" borderId="34" xfId="214" applyNumberFormat="1" applyFont="1" applyFill="1" applyBorder="1" applyAlignment="1">
      <alignment horizontal="center"/>
      <protection/>
    </xf>
    <xf numFmtId="3" fontId="61" fillId="0" borderId="34" xfId="216" applyNumberFormat="1" applyFont="1" applyFill="1" applyBorder="1" applyAlignment="1">
      <alignment horizontal="center"/>
      <protection/>
    </xf>
    <xf numFmtId="3" fontId="4" fillId="0" borderId="27" xfId="216" applyNumberFormat="1" applyFont="1" applyFill="1" applyBorder="1" applyAlignment="1">
      <alignment horizontal="center"/>
      <protection/>
    </xf>
    <xf numFmtId="3" fontId="4" fillId="0" borderId="14" xfId="216" applyNumberFormat="1" applyFont="1" applyFill="1" applyBorder="1" applyAlignment="1">
      <alignment horizontal="center"/>
      <protection/>
    </xf>
    <xf numFmtId="3" fontId="4" fillId="0" borderId="28" xfId="216" applyNumberFormat="1" applyFont="1" applyFill="1" applyBorder="1" applyAlignment="1">
      <alignment horizontal="center"/>
      <protection/>
    </xf>
    <xf numFmtId="3" fontId="4" fillId="0" borderId="29" xfId="216" applyNumberFormat="1" applyFont="1" applyFill="1" applyBorder="1" applyAlignment="1">
      <alignment horizontal="center"/>
      <protection/>
    </xf>
    <xf numFmtId="3" fontId="4" fillId="0" borderId="31" xfId="215" applyNumberFormat="1" applyFont="1" applyFill="1" applyBorder="1" applyAlignment="1">
      <alignment horizontal="center"/>
      <protection/>
    </xf>
    <xf numFmtId="3" fontId="4" fillId="0" borderId="30" xfId="216" applyNumberFormat="1" applyFont="1" applyFill="1" applyBorder="1" applyAlignment="1">
      <alignment horizontal="center"/>
      <protection/>
    </xf>
    <xf numFmtId="3" fontId="4" fillId="0" borderId="30" xfId="214" applyNumberFormat="1" applyFont="1" applyFill="1" applyBorder="1" applyAlignment="1">
      <alignment horizontal="center"/>
      <protection/>
    </xf>
    <xf numFmtId="3" fontId="4" fillId="0" borderId="14" xfId="215" applyNumberFormat="1" applyFont="1" applyFill="1" applyBorder="1" applyAlignment="1">
      <alignment horizontal="center"/>
      <protection/>
    </xf>
    <xf numFmtId="3" fontId="4" fillId="0" borderId="14" xfId="214" applyNumberFormat="1" applyFont="1" applyFill="1" applyBorder="1" applyAlignment="1">
      <alignment horizontal="center"/>
      <protection/>
    </xf>
    <xf numFmtId="3" fontId="4" fillId="0" borderId="31" xfId="214" applyNumberFormat="1" applyFont="1" applyFill="1" applyBorder="1" applyAlignment="1">
      <alignment horizontal="center"/>
      <protection/>
    </xf>
    <xf numFmtId="3" fontId="4" fillId="0" borderId="34" xfId="214" applyNumberFormat="1" applyFont="1" applyFill="1" applyBorder="1" applyAlignment="1">
      <alignment horizontal="center"/>
      <protection/>
    </xf>
    <xf numFmtId="3" fontId="4" fillId="0" borderId="31" xfId="216" applyNumberFormat="1" applyFont="1" applyFill="1" applyBorder="1" applyAlignment="1">
      <alignment horizontal="center"/>
      <protection/>
    </xf>
    <xf numFmtId="3" fontId="4" fillId="0" borderId="33" xfId="216" applyNumberFormat="1" applyFont="1" applyFill="1" applyBorder="1" applyAlignment="1">
      <alignment horizontal="center"/>
      <protection/>
    </xf>
    <xf numFmtId="0" fontId="5" fillId="0" borderId="0" xfId="216" applyFont="1" applyAlignment="1">
      <alignment horizontal="center"/>
      <protection/>
    </xf>
    <xf numFmtId="0" fontId="4" fillId="0" borderId="35" xfId="195" applyFont="1" applyBorder="1" applyAlignment="1">
      <alignment horizontal="center" vertical="center"/>
      <protection/>
    </xf>
    <xf numFmtId="0" fontId="4" fillId="0" borderId="36" xfId="195" applyFont="1" applyBorder="1" applyAlignment="1">
      <alignment horizontal="center" vertical="center"/>
      <protection/>
    </xf>
    <xf numFmtId="0" fontId="4" fillId="0" borderId="35" xfId="195" applyFont="1" applyFill="1" applyBorder="1" applyAlignment="1">
      <alignment horizontal="center" vertical="center"/>
      <protection/>
    </xf>
    <xf numFmtId="0" fontId="4" fillId="0" borderId="36" xfId="195" applyFont="1" applyFill="1" applyBorder="1" applyAlignment="1">
      <alignment horizontal="center" vertical="center"/>
      <protection/>
    </xf>
    <xf numFmtId="0" fontId="25" fillId="0" borderId="0" xfId="195" applyFont="1" applyBorder="1" applyAlignment="1">
      <alignment horizontal="left" wrapText="1"/>
      <protection/>
    </xf>
  </cellXfs>
  <cellStyles count="241">
    <cellStyle name="Normal" xfId="0"/>
    <cellStyle name="_194" xfId="15"/>
    <cellStyle name="_Сб-macro 2020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— акцент2" xfId="28"/>
    <cellStyle name="20% - Акцент2 2" xfId="29"/>
    <cellStyle name="20% - Акцент2 2 2" xfId="30"/>
    <cellStyle name="20% - Акцент2 2 2 2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 5 2" xfId="37"/>
    <cellStyle name="20% - Акцент2 2 6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2 4 2" xfId="46"/>
    <cellStyle name="20% - Акцент3 2 5" xfId="47"/>
    <cellStyle name="20% - Акцент3 2 5 2" xfId="48"/>
    <cellStyle name="20% - Акцент3 2 6" xfId="49"/>
    <cellStyle name="20% — акцент4" xfId="50"/>
    <cellStyle name="20% - Акцент4 2" xfId="51"/>
    <cellStyle name="20% - Акцент4 2 2" xfId="52"/>
    <cellStyle name="20% - Акцент4 2 2 2" xfId="53"/>
    <cellStyle name="20% - Акцент4 2 3" xfId="54"/>
    <cellStyle name="20% - Акцент4 2 3 2" xfId="55"/>
    <cellStyle name="20% - Акцент4 2 4" xfId="56"/>
    <cellStyle name="20% - Акцент4 2 4 2" xfId="57"/>
    <cellStyle name="20% - Акцент4 2 5" xfId="58"/>
    <cellStyle name="20% - Акцент4 2 5 2" xfId="59"/>
    <cellStyle name="20% - Акцент4 2 6" xfId="60"/>
    <cellStyle name="20% — акцент5" xfId="61"/>
    <cellStyle name="20% - Акцент5 2" xfId="62"/>
    <cellStyle name="20% - Акцент5 2 2" xfId="63"/>
    <cellStyle name="20% - Акцент5 2 2 2" xfId="64"/>
    <cellStyle name="20% - Акцент5 2 3" xfId="65"/>
    <cellStyle name="20% - Акцент5 2 3 2" xfId="66"/>
    <cellStyle name="20% - Акцент5 2 4" xfId="67"/>
    <cellStyle name="20% - Акцент5 2 4 2" xfId="68"/>
    <cellStyle name="20% - Акцент5 2 5" xfId="69"/>
    <cellStyle name="20% - Акцент5 2 5 2" xfId="70"/>
    <cellStyle name="20% - Акцент5 2 6" xfId="71"/>
    <cellStyle name="20% — акцент6" xfId="72"/>
    <cellStyle name="20% - Акцент6 2" xfId="73"/>
    <cellStyle name="20% - Акцент6 2 2" xfId="74"/>
    <cellStyle name="20% - Акцент6 2 2 2" xfId="75"/>
    <cellStyle name="20% - Акцент6 2 3" xfId="76"/>
    <cellStyle name="20% - Акцент6 2 3 2" xfId="77"/>
    <cellStyle name="20% - Акцент6 2 4" xfId="78"/>
    <cellStyle name="20% - Акцент6 2 4 2" xfId="79"/>
    <cellStyle name="20% - Акцент6 2 5" xfId="80"/>
    <cellStyle name="20% - Акцент6 2 5 2" xfId="81"/>
    <cellStyle name="20% - Акцент6 2 6" xfId="82"/>
    <cellStyle name="40% — акцент1" xfId="83"/>
    <cellStyle name="40% - Акцент1 2" xfId="84"/>
    <cellStyle name="40% - Акцент1 2 2" xfId="85"/>
    <cellStyle name="40% - Акцент1 2 2 2" xfId="86"/>
    <cellStyle name="40% - Акцент1 2 3" xfId="87"/>
    <cellStyle name="40% - Акцент1 2 3 2" xfId="88"/>
    <cellStyle name="40% - Акцент1 2 4" xfId="89"/>
    <cellStyle name="40% - Акцент1 2 4 2" xfId="90"/>
    <cellStyle name="40% - Акцент1 2 5" xfId="91"/>
    <cellStyle name="40% - Акцент1 2 5 2" xfId="92"/>
    <cellStyle name="40% - Акцент1 2 6" xfId="93"/>
    <cellStyle name="40% — акцент2" xfId="94"/>
    <cellStyle name="40% - Акцент2 2" xfId="95"/>
    <cellStyle name="40% - Акцент2 2 2" xfId="96"/>
    <cellStyle name="40% - Акцент2 2 2 2" xfId="97"/>
    <cellStyle name="40% - Акцент2 2 3" xfId="98"/>
    <cellStyle name="40% - Акцент2 2 3 2" xfId="99"/>
    <cellStyle name="40% - Акцент2 2 4" xfId="100"/>
    <cellStyle name="40% - Акцент2 2 4 2" xfId="101"/>
    <cellStyle name="40% - Акцент2 2 5" xfId="102"/>
    <cellStyle name="40% - Акцент2 2 5 2" xfId="103"/>
    <cellStyle name="40% - Акцент2 2 6" xfId="104"/>
    <cellStyle name="40% — акцент3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3 2" xfId="110"/>
    <cellStyle name="40% - Акцент3 2 4" xfId="111"/>
    <cellStyle name="40% - Акцент3 2 4 2" xfId="112"/>
    <cellStyle name="40% - Акцент3 2 5" xfId="113"/>
    <cellStyle name="40% - Акцент3 2 5 2" xfId="114"/>
    <cellStyle name="40% - Акцент3 2 6" xfId="115"/>
    <cellStyle name="40% — акцент4" xfId="116"/>
    <cellStyle name="40% - Акцент4 2" xfId="117"/>
    <cellStyle name="40% - Акцент4 2 2" xfId="118"/>
    <cellStyle name="40% - Акцент4 2 2 2" xfId="119"/>
    <cellStyle name="40% - Акцент4 2 3" xfId="120"/>
    <cellStyle name="40% - Акцент4 2 3 2" xfId="121"/>
    <cellStyle name="40% - Акцент4 2 4" xfId="122"/>
    <cellStyle name="40% - Акцент4 2 4 2" xfId="123"/>
    <cellStyle name="40% - Акцент4 2 5" xfId="124"/>
    <cellStyle name="40% - Акцент4 2 5 2" xfId="125"/>
    <cellStyle name="40% - Акцент4 2 6" xfId="126"/>
    <cellStyle name="40% — акцент5" xfId="127"/>
    <cellStyle name="40% - Акцент5 2" xfId="128"/>
    <cellStyle name="40% - Акцент5 2 2" xfId="129"/>
    <cellStyle name="40% - Акцент5 2 2 2" xfId="130"/>
    <cellStyle name="40% - Акцент5 2 3" xfId="131"/>
    <cellStyle name="40% - Акцент5 2 3 2" xfId="132"/>
    <cellStyle name="40% - Акцент5 2 4" xfId="133"/>
    <cellStyle name="40% - Акцент5 2 4 2" xfId="134"/>
    <cellStyle name="40% - Акцент5 2 5" xfId="135"/>
    <cellStyle name="40% - Акцент5 2 5 2" xfId="136"/>
    <cellStyle name="40% - Акцент5 2 6" xfId="137"/>
    <cellStyle name="40% — акцент6" xfId="138"/>
    <cellStyle name="40% - Акцент6 2" xfId="139"/>
    <cellStyle name="40% - Акцент6 2 2" xfId="140"/>
    <cellStyle name="40% - Акцент6 2 2 2" xfId="141"/>
    <cellStyle name="40% - Акцент6 2 3" xfId="142"/>
    <cellStyle name="40% - Акцент6 2 3 2" xfId="143"/>
    <cellStyle name="40% - Акцент6 2 4" xfId="144"/>
    <cellStyle name="40% - Акцент6 2 4 2" xfId="145"/>
    <cellStyle name="40% - Акцент6 2 5" xfId="146"/>
    <cellStyle name="40% - Акцент6 2 5 2" xfId="147"/>
    <cellStyle name="40% - Акцент6 2 6" xfId="148"/>
    <cellStyle name="60% — акцент1" xfId="149"/>
    <cellStyle name="60% — акцент2" xfId="150"/>
    <cellStyle name="60% — акцент3" xfId="151"/>
    <cellStyle name="60% — акцент4" xfId="152"/>
    <cellStyle name="60% — акцент5" xfId="153"/>
    <cellStyle name="60% — акцент6" xfId="154"/>
    <cellStyle name="Currency [0]" xfId="155"/>
    <cellStyle name="Euro" xfId="156"/>
    <cellStyle name="Normal_Form2.1" xfId="157"/>
    <cellStyle name="Normal1" xfId="158"/>
    <cellStyle name="Price_Body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Беззащитный" xfId="166"/>
    <cellStyle name="Ввод " xfId="167"/>
    <cellStyle name="Вывод" xfId="168"/>
    <cellStyle name="Вычисление" xfId="169"/>
    <cellStyle name="Hyperlink" xfId="170"/>
    <cellStyle name="Гиперссылка 2" xfId="171"/>
    <cellStyle name="Currency" xfId="172"/>
    <cellStyle name="Currency [0]" xfId="173"/>
    <cellStyle name="ЄЄЄ_x0004_ЄЄЄЀЄЄЄЄЄ_x0004_ЄЄЄЄЄ" xfId="174"/>
    <cellStyle name="Заголовок" xfId="175"/>
    <cellStyle name="Заголовок 1" xfId="176"/>
    <cellStyle name="Заголовок 2" xfId="177"/>
    <cellStyle name="Заголовок 3" xfId="178"/>
    <cellStyle name="Заголовок 4" xfId="179"/>
    <cellStyle name="ЗаголовокСтолбца" xfId="180"/>
    <cellStyle name="Защитный" xfId="181"/>
    <cellStyle name="Значение" xfId="182"/>
    <cellStyle name="Итог" xfId="183"/>
    <cellStyle name="Контрольная ячейка" xfId="184"/>
    <cellStyle name="Мои наименования показателей" xfId="185"/>
    <cellStyle name="Мой заголовок" xfId="186"/>
    <cellStyle name="Мой заголовок листа" xfId="187"/>
    <cellStyle name="Название" xfId="188"/>
    <cellStyle name="Название 2" xfId="189"/>
    <cellStyle name="Нейтральный" xfId="190"/>
    <cellStyle name="Обычный 10" xfId="191"/>
    <cellStyle name="Обычный 11" xfId="192"/>
    <cellStyle name="Обычный 12" xfId="193"/>
    <cellStyle name="Обычный 13" xfId="194"/>
    <cellStyle name="Обычный 2" xfId="195"/>
    <cellStyle name="Обычный 2 2" xfId="196"/>
    <cellStyle name="Обычный 2 2 2" xfId="197"/>
    <cellStyle name="Обычный 2 2 3" xfId="198"/>
    <cellStyle name="Обычный 2 3" xfId="199"/>
    <cellStyle name="Обычный 3" xfId="200"/>
    <cellStyle name="Обычный 3 2" xfId="201"/>
    <cellStyle name="Обычный 4" xfId="202"/>
    <cellStyle name="Обычный 4 2" xfId="203"/>
    <cellStyle name="Обычный 4 3" xfId="204"/>
    <cellStyle name="Обычный 5" xfId="205"/>
    <cellStyle name="Обычный 5 2" xfId="206"/>
    <cellStyle name="Обычный 5 3" xfId="207"/>
    <cellStyle name="Обычный 6" xfId="208"/>
    <cellStyle name="Обычный 6 2" xfId="209"/>
    <cellStyle name="Обычный 6 3" xfId="210"/>
    <cellStyle name="Обычный 7" xfId="211"/>
    <cellStyle name="Обычный 8" xfId="212"/>
    <cellStyle name="Обычный 9" xfId="213"/>
    <cellStyle name="Обычный_Апрель Апатит 10" xfId="214"/>
    <cellStyle name="Обычный_Апрель Апатит 11" xfId="215"/>
    <cellStyle name="Обычный_Апрель Апатит 2" xfId="216"/>
    <cellStyle name="Followed Hyperlink" xfId="217"/>
    <cellStyle name="Плохой" xfId="218"/>
    <cellStyle name="Пояснение" xfId="219"/>
    <cellStyle name="Примечание" xfId="220"/>
    <cellStyle name="Примечание 2" xfId="221"/>
    <cellStyle name="Примечание 2 2" xfId="222"/>
    <cellStyle name="Примечание 2 2 2" xfId="223"/>
    <cellStyle name="Примечание 2 3" xfId="224"/>
    <cellStyle name="Примечание 2 3 2" xfId="225"/>
    <cellStyle name="Примечание 2 4" xfId="226"/>
    <cellStyle name="Примечание 2 4 2" xfId="227"/>
    <cellStyle name="Примечание 2 5" xfId="228"/>
    <cellStyle name="Примечание 2 5 2" xfId="229"/>
    <cellStyle name="Примечание 2 6" xfId="230"/>
    <cellStyle name="Percent" xfId="231"/>
    <cellStyle name="Связанная ячейка" xfId="232"/>
    <cellStyle name="Стиль 1" xfId="233"/>
    <cellStyle name="Текст предупреждения" xfId="234"/>
    <cellStyle name="Текстовый" xfId="235"/>
    <cellStyle name="Тысячи [0]_3Com" xfId="236"/>
    <cellStyle name="Тысячи_3Com" xfId="237"/>
    <cellStyle name="Comma" xfId="238"/>
    <cellStyle name="Comma [0]" xfId="239"/>
    <cellStyle name="Финансовый 2" xfId="240"/>
    <cellStyle name="Формула" xfId="241"/>
    <cellStyle name="ФормулаВБ" xfId="242"/>
    <cellStyle name="ФормулаНаКонтроль" xfId="243"/>
    <cellStyle name="Хороший" xfId="244"/>
    <cellStyle name="㼿" xfId="245"/>
    <cellStyle name="㼿?" xfId="246"/>
    <cellStyle name="㼿㼿" xfId="247"/>
    <cellStyle name="㼿㼿?" xfId="248"/>
    <cellStyle name="㼿㼿㼿" xfId="249"/>
    <cellStyle name="㼿㼿㼿?" xfId="250"/>
    <cellStyle name="㼿㼿㼿㼿" xfId="251"/>
    <cellStyle name="㼿㼿㼿㼿?" xfId="252"/>
    <cellStyle name="㼿㼿㼿㼿㼿" xfId="253"/>
    <cellStyle name="㼿㼿㼿㼿㼿 2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55">
      <selection activeCell="F16" sqref="F16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17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190255071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2107644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1522372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138144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1083365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7821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195114417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7" ht="15.75">
      <c r="B17" s="6" t="s">
        <v>1</v>
      </c>
      <c r="C17" s="36">
        <v>146044741</v>
      </c>
      <c r="D17" s="21"/>
      <c r="E17" s="21"/>
      <c r="F17" s="22"/>
      <c r="G17" s="21"/>
    </row>
    <row r="18" spans="2:7" ht="15.75">
      <c r="B18" s="7" t="s">
        <v>2</v>
      </c>
      <c r="C18" s="37">
        <v>565028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7" ht="16.5" thickBot="1">
      <c r="B22" s="1" t="s">
        <v>8</v>
      </c>
      <c r="C22" s="38">
        <f>SUM(C17:C21)</f>
        <v>146609769</v>
      </c>
      <c r="D22" s="21"/>
      <c r="E22" s="21"/>
      <c r="F22" s="22"/>
      <c r="G22" s="21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3537661</v>
      </c>
      <c r="D24" s="21"/>
      <c r="E24" s="22"/>
      <c r="F24" s="22"/>
      <c r="G24" s="21"/>
    </row>
    <row r="25" spans="2:7" ht="15.75">
      <c r="B25" s="7" t="s">
        <v>2</v>
      </c>
      <c r="C25" s="37">
        <f>391578-C39</f>
        <v>265469</v>
      </c>
      <c r="D25" s="21"/>
      <c r="E25" s="22"/>
      <c r="F25" s="26"/>
      <c r="G25" s="21"/>
    </row>
    <row r="26" spans="2:7" ht="15.75">
      <c r="B26" s="7" t="s">
        <v>3</v>
      </c>
      <c r="C26" s="37">
        <f>41320-C38</f>
        <v>14880</v>
      </c>
      <c r="D26" s="21"/>
      <c r="E26" s="22"/>
      <c r="F26" s="22"/>
      <c r="G26" s="21"/>
    </row>
    <row r="27" spans="2:7" ht="15.75">
      <c r="B27" s="7" t="s">
        <v>4</v>
      </c>
      <c r="C27" s="37">
        <v>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7821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3825831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88859</v>
      </c>
      <c r="D33" s="21"/>
      <c r="E33" s="21"/>
      <c r="F33" s="21"/>
      <c r="G33" s="21"/>
    </row>
    <row r="34" spans="2:7" ht="15.75">
      <c r="B34" s="7" t="s">
        <v>3</v>
      </c>
      <c r="C34" s="35">
        <v>1475692</v>
      </c>
      <c r="D34" s="21"/>
      <c r="E34" s="21"/>
      <c r="F34" s="21"/>
      <c r="G34" s="21"/>
    </row>
    <row r="35" spans="2:7" ht="16.5" thickBot="1">
      <c r="B35" s="7" t="s">
        <v>4</v>
      </c>
      <c r="C35" s="35">
        <v>138144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1702695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26440</v>
      </c>
      <c r="D38" s="21"/>
      <c r="E38" s="21"/>
      <c r="F38" s="22"/>
      <c r="G38" s="21"/>
    </row>
    <row r="39" spans="2:7" ht="16.5" thickBot="1">
      <c r="B39" s="20" t="s">
        <v>2</v>
      </c>
      <c r="C39" s="29">
        <v>126109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152549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1420846</v>
      </c>
      <c r="E42" s="5"/>
      <c r="F42" s="21"/>
      <c r="G42" s="21"/>
    </row>
    <row r="43" spans="2:7" ht="16.5" thickBot="1">
      <c r="B43" s="10" t="s">
        <v>2</v>
      </c>
      <c r="C43" s="31">
        <v>1062179</v>
      </c>
      <c r="E43" s="5"/>
      <c r="F43" s="21"/>
      <c r="G43" s="21"/>
    </row>
    <row r="44" spans="2:7" ht="16.5" thickBot="1">
      <c r="B44" s="10" t="s">
        <v>3</v>
      </c>
      <c r="C44" s="32">
        <v>0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936068</v>
      </c>
      <c r="E46" s="5"/>
      <c r="F46" s="21"/>
      <c r="G46" s="21"/>
    </row>
    <row r="47" spans="2:7" ht="16.5" thickBot="1">
      <c r="B47" s="1" t="s">
        <v>8</v>
      </c>
      <c r="C47" s="38">
        <f>SUM(C42:C46)</f>
        <v>3419093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37564792</v>
      </c>
      <c r="F50" s="22"/>
      <c r="G50" s="21"/>
    </row>
    <row r="51" spans="2:7" ht="15.75">
      <c r="B51" s="7" t="s">
        <v>3</v>
      </c>
      <c r="C51" s="35">
        <v>5360</v>
      </c>
      <c r="F51" s="21"/>
      <c r="G51" s="21"/>
    </row>
    <row r="52" spans="2:7" ht="16.5" thickBot="1">
      <c r="B52" s="10" t="s">
        <v>15</v>
      </c>
      <c r="C52" s="31">
        <v>147297</v>
      </c>
      <c r="F52" s="22"/>
      <c r="G52" s="21"/>
    </row>
    <row r="53" spans="2:7" ht="16.5" thickBot="1">
      <c r="B53" s="24" t="s">
        <v>8</v>
      </c>
      <c r="C53" s="44">
        <f>SUM(C50:C52)</f>
        <v>37717449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1687031</v>
      </c>
      <c r="F56" s="22"/>
      <c r="G56" s="21"/>
    </row>
    <row r="57" spans="2:7" ht="16.5" thickBot="1">
      <c r="B57" s="10" t="s">
        <v>15</v>
      </c>
      <c r="C57" s="31">
        <v>0</v>
      </c>
      <c r="F57" s="22"/>
      <c r="G57" s="21"/>
    </row>
    <row r="58" spans="2:7" ht="16.5" thickBot="1">
      <c r="B58" s="1" t="s">
        <v>8</v>
      </c>
      <c r="C58" s="38">
        <f>SUM(C56:C57)</f>
        <v>1687031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3.604+6.499+12.546+613+695+80+995+677+941+2460+35504+15009.195139+195581+1296</f>
        <v>253873.844139</v>
      </c>
      <c r="D61" s="21"/>
      <c r="E61" s="21"/>
      <c r="F61" s="21"/>
      <c r="G61" s="21"/>
    </row>
    <row r="62" spans="2:7" ht="15.75">
      <c r="B62" s="7" t="s">
        <v>2</v>
      </c>
      <c r="C62" s="40">
        <f>3+3+1.443+113+777+215+760</f>
        <v>1872.443</v>
      </c>
      <c r="D62" s="21"/>
      <c r="E62" s="21"/>
      <c r="F62" s="21"/>
      <c r="G62" s="21"/>
    </row>
    <row r="63" spans="2:7" ht="15.75">
      <c r="B63" s="7" t="s">
        <v>3</v>
      </c>
      <c r="C63" s="40">
        <f>3+8+173+999+59+81</f>
        <v>1323</v>
      </c>
      <c r="D63" s="21"/>
      <c r="E63" s="21"/>
      <c r="F63" s="21"/>
      <c r="G63" s="21"/>
    </row>
    <row r="64" spans="2:7" ht="15.75">
      <c r="B64" s="7" t="s">
        <v>4</v>
      </c>
      <c r="C64" s="40">
        <f>8+2+25</f>
        <v>35</v>
      </c>
      <c r="D64" s="21"/>
      <c r="E64" s="21"/>
      <c r="F64" s="21"/>
      <c r="G64" s="21"/>
    </row>
    <row r="65" spans="2:7" ht="15.75">
      <c r="B65" s="7" t="s">
        <v>15</v>
      </c>
      <c r="C65" s="40">
        <f>1312+187.559698</f>
        <v>1499.559698</v>
      </c>
      <c r="D65" s="21"/>
      <c r="E65" s="21"/>
      <c r="F65" s="21"/>
      <c r="G65" s="21"/>
    </row>
    <row r="66" spans="2:7" ht="16.5" thickBot="1">
      <c r="B66" s="39" t="s">
        <v>28</v>
      </c>
      <c r="C66" s="41">
        <v>6</v>
      </c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258609.846837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37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235604487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2155790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1502544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135701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1953774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35946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241388242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f>145892336+7897840</f>
        <v>153790176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779853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154570029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2893216</v>
      </c>
      <c r="D24" s="21"/>
      <c r="E24" s="22"/>
      <c r="F24" s="22"/>
      <c r="G24" s="21"/>
    </row>
    <row r="25" spans="2:7" ht="15.75">
      <c r="B25" s="7" t="s">
        <v>2</v>
      </c>
      <c r="C25" s="37">
        <f>450015-C39</f>
        <v>343240</v>
      </c>
      <c r="D25" s="21"/>
      <c r="E25" s="22"/>
      <c r="F25" s="26"/>
      <c r="G25" s="21"/>
    </row>
    <row r="26" spans="2:7" ht="15.75">
      <c r="B26" s="7" t="s">
        <v>3</v>
      </c>
      <c r="C26" s="37">
        <f>182421-C38</f>
        <v>167101</v>
      </c>
      <c r="D26" s="21"/>
      <c r="E26" s="22"/>
      <c r="F26" s="22"/>
      <c r="G26" s="21"/>
    </row>
    <row r="27" spans="2:7" ht="15.75">
      <c r="B27" s="7" t="s">
        <v>4</v>
      </c>
      <c r="C27" s="37">
        <v>560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35946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3440063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75589</v>
      </c>
      <c r="D33" s="21"/>
      <c r="E33" s="21"/>
      <c r="F33" s="21"/>
      <c r="G33" s="21"/>
    </row>
    <row r="34" spans="2:7" ht="15.75">
      <c r="B34" s="7" t="s">
        <v>3</v>
      </c>
      <c r="C34" s="35">
        <v>1314580</v>
      </c>
      <c r="D34" s="21"/>
      <c r="E34" s="21"/>
      <c r="F34" s="21"/>
      <c r="G34" s="21"/>
    </row>
    <row r="35" spans="2:7" ht="16.5" thickBot="1">
      <c r="B35" s="7" t="s">
        <v>4</v>
      </c>
      <c r="C35" s="35">
        <v>135141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1525310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15320</v>
      </c>
      <c r="D38" s="21"/>
      <c r="E38" s="21"/>
      <c r="F38" s="22"/>
      <c r="G38" s="21"/>
    </row>
    <row r="39" spans="2:7" ht="16.5" thickBot="1">
      <c r="B39" s="20" t="s">
        <v>2</v>
      </c>
      <c r="C39" s="29">
        <v>106775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122095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1123315</v>
      </c>
      <c r="E42" s="5"/>
      <c r="F42" s="21"/>
      <c r="G42" s="21"/>
    </row>
    <row r="43" spans="2:7" ht="16.5" thickBot="1">
      <c r="B43" s="10" t="s">
        <v>2</v>
      </c>
      <c r="C43" s="31">
        <v>850333</v>
      </c>
      <c r="E43" s="5"/>
      <c r="F43" s="21"/>
      <c r="G43" s="21"/>
    </row>
    <row r="44" spans="2:7" ht="16.5" thickBot="1">
      <c r="B44" s="10" t="s">
        <v>3</v>
      </c>
      <c r="C44" s="32">
        <v>573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921914</v>
      </c>
      <c r="E46" s="5"/>
      <c r="F46" s="21"/>
      <c r="G46" s="21"/>
    </row>
    <row r="47" spans="2:7" ht="16.5" thickBot="1">
      <c r="B47" s="1" t="s">
        <v>8</v>
      </c>
      <c r="C47" s="38">
        <f>SUM(C42:C46)</f>
        <v>2896135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68955433</v>
      </c>
      <c r="F50" s="22"/>
      <c r="G50" s="21"/>
    </row>
    <row r="51" spans="2:7" ht="15.75">
      <c r="B51" s="7" t="s">
        <v>3</v>
      </c>
      <c r="C51" s="35">
        <v>4970</v>
      </c>
      <c r="F51" s="21"/>
      <c r="G51" s="21"/>
    </row>
    <row r="52" spans="2:7" ht="16.5" thickBot="1">
      <c r="B52" s="10" t="s">
        <v>15</v>
      </c>
      <c r="C52" s="31">
        <v>127811</v>
      </c>
      <c r="F52" s="22"/>
      <c r="G52" s="21"/>
    </row>
    <row r="53" spans="2:7" ht="16.5" thickBot="1">
      <c r="B53" s="24" t="s">
        <v>8</v>
      </c>
      <c r="C53" s="44">
        <f>SUM(C50:C52)</f>
        <v>69088214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8842347</v>
      </c>
      <c r="F56" s="22"/>
      <c r="G56" s="21"/>
    </row>
    <row r="57" spans="2:7" ht="16.5" thickBot="1">
      <c r="B57" s="10" t="s">
        <v>15</v>
      </c>
      <c r="C57" s="31">
        <v>904049</v>
      </c>
      <c r="F57" s="22"/>
      <c r="G57" s="21"/>
    </row>
    <row r="58" spans="2:7" ht="16.5" thickBot="1">
      <c r="B58" s="1" t="s">
        <v>8</v>
      </c>
      <c r="C58" s="38">
        <f>SUM(C56:C57)</f>
        <v>9746396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197085+10662+6+516+561+706+45+163+1029+6.951+10.608+1.988+7055+3438+69667+21112</f>
        <v>312064.547</v>
      </c>
      <c r="D61" s="21"/>
      <c r="E61" s="21"/>
      <c r="F61" s="21"/>
      <c r="G61" s="21"/>
    </row>
    <row r="62" spans="2:7" ht="15.75">
      <c r="B62" s="7" t="s">
        <v>2</v>
      </c>
      <c r="C62" s="40">
        <f>1059+101+702+176+3+3</f>
        <v>2044</v>
      </c>
      <c r="D62" s="21"/>
      <c r="E62" s="21"/>
      <c r="F62" s="21"/>
      <c r="G62" s="21"/>
    </row>
    <row r="63" spans="2:7" ht="15.75">
      <c r="B63" s="7" t="s">
        <v>3</v>
      </c>
      <c r="C63" s="40">
        <f>256+2+176+256+648+62+8+5+51</f>
        <v>1464</v>
      </c>
      <c r="D63" s="21"/>
      <c r="E63" s="21"/>
      <c r="F63" s="21"/>
      <c r="G63" s="21"/>
    </row>
    <row r="64" spans="2:7" ht="15.75">
      <c r="B64" s="7" t="s">
        <v>4</v>
      </c>
      <c r="C64" s="40">
        <f>30+8+2</f>
        <v>40</v>
      </c>
      <c r="D64" s="21"/>
      <c r="E64" s="21"/>
      <c r="F64" s="21"/>
      <c r="G64" s="21"/>
    </row>
    <row r="65" spans="2:7" ht="15.75">
      <c r="B65" s="7" t="s">
        <v>15</v>
      </c>
      <c r="C65" s="40">
        <f>1275+1426+174</f>
        <v>2875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318487.547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28">
      <selection activeCell="G23" sqref="G23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38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236519219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3002652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2171288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141658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2414370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95695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244344882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f>145475210+7643070</f>
        <v>153118280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1309765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154428045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3046314</v>
      </c>
      <c r="D24" s="21"/>
      <c r="E24" s="22"/>
      <c r="F24" s="22"/>
      <c r="G24" s="21"/>
    </row>
    <row r="25" spans="2:7" ht="15.75">
      <c r="B25" s="7" t="s">
        <v>2</v>
      </c>
      <c r="C25" s="37">
        <f>588356-C39</f>
        <v>455784</v>
      </c>
      <c r="D25" s="21"/>
      <c r="E25" s="22"/>
      <c r="F25" s="26"/>
      <c r="G25" s="21"/>
    </row>
    <row r="26" spans="2:7" ht="15.75">
      <c r="B26" s="7" t="s">
        <v>3</v>
      </c>
      <c r="C26" s="37">
        <f>191315-C38</f>
        <v>169235</v>
      </c>
      <c r="D26" s="21"/>
      <c r="E26" s="22"/>
      <c r="F26" s="22"/>
      <c r="G26" s="21"/>
    </row>
    <row r="27" spans="2:7" ht="15.75">
      <c r="B27" s="7" t="s">
        <v>4</v>
      </c>
      <c r="C27" s="37">
        <v>1480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95695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3768508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86477</v>
      </c>
      <c r="D33" s="21"/>
      <c r="E33" s="21"/>
      <c r="F33" s="21"/>
      <c r="G33" s="21"/>
    </row>
    <row r="34" spans="2:7" ht="15.75">
      <c r="B34" s="7" t="s">
        <v>3</v>
      </c>
      <c r="C34" s="35">
        <v>1975709</v>
      </c>
      <c r="D34" s="21"/>
      <c r="E34" s="21"/>
      <c r="F34" s="21"/>
      <c r="G34" s="21"/>
    </row>
    <row r="35" spans="2:7" ht="16.5" thickBot="1">
      <c r="B35" s="7" t="s">
        <v>4</v>
      </c>
      <c r="C35" s="35">
        <v>140178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2202364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22080</v>
      </c>
      <c r="D38" s="21"/>
      <c r="E38" s="21"/>
      <c r="F38" s="22"/>
      <c r="G38" s="21"/>
    </row>
    <row r="39" spans="2:7" ht="16.5" thickBot="1">
      <c r="B39" s="20" t="s">
        <v>2</v>
      </c>
      <c r="C39" s="29">
        <v>132572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154652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1231970</v>
      </c>
      <c r="E42" s="5"/>
      <c r="F42" s="21"/>
      <c r="G42" s="21"/>
    </row>
    <row r="43" spans="2:7" ht="16.5" thickBot="1">
      <c r="B43" s="10" t="s">
        <v>2</v>
      </c>
      <c r="C43" s="31">
        <v>1018054</v>
      </c>
      <c r="E43" s="5"/>
      <c r="F43" s="21"/>
      <c r="G43" s="21"/>
    </row>
    <row r="44" spans="2:7" ht="16.5" thickBot="1">
      <c r="B44" s="10" t="s">
        <v>3</v>
      </c>
      <c r="C44" s="32">
        <v>1344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959405</v>
      </c>
      <c r="E46" s="5"/>
      <c r="F46" s="21"/>
      <c r="G46" s="21"/>
    </row>
    <row r="47" spans="2:7" ht="16.5" thickBot="1">
      <c r="B47" s="1" t="s">
        <v>8</v>
      </c>
      <c r="C47" s="38">
        <f>SUM(C42:C46)</f>
        <v>3210773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76449647</v>
      </c>
      <c r="F50" s="22"/>
      <c r="G50" s="21"/>
    </row>
    <row r="51" spans="2:7" ht="15.75">
      <c r="B51" s="7" t="s">
        <v>3</v>
      </c>
      <c r="C51" s="35">
        <v>2920</v>
      </c>
      <c r="F51" s="21"/>
      <c r="G51" s="21"/>
    </row>
    <row r="52" spans="2:7" ht="16.5" thickBot="1">
      <c r="B52" s="10" t="s">
        <v>15</v>
      </c>
      <c r="C52" s="31">
        <v>103777</v>
      </c>
      <c r="F52" s="22"/>
      <c r="G52" s="21"/>
    </row>
    <row r="53" spans="2:7" ht="16.5" thickBot="1">
      <c r="B53" s="24" t="s">
        <v>8</v>
      </c>
      <c r="C53" s="44">
        <f>SUM(C50:C52)</f>
        <v>76556344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2673008</v>
      </c>
      <c r="F56" s="22"/>
      <c r="G56" s="21"/>
    </row>
    <row r="57" spans="2:7" ht="16.5" thickBot="1">
      <c r="B57" s="10" t="s">
        <v>15</v>
      </c>
      <c r="C57" s="31">
        <v>1351188</v>
      </c>
      <c r="F57" s="22"/>
      <c r="G57" s="21"/>
    </row>
    <row r="58" spans="2:7" ht="16.5" thickBot="1">
      <c r="B58" s="1" t="s">
        <v>8</v>
      </c>
      <c r="C58" s="38">
        <f>SUM(C56:C57)</f>
        <v>4024196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202837+7+1488+83089+21690+4730+75+1.659+6.945+12.964+659+679+588+241+1133+10180</f>
        <v>327417.56799999997</v>
      </c>
      <c r="D61" s="21"/>
      <c r="E61" s="21"/>
      <c r="F61" s="21"/>
      <c r="G61" s="21"/>
    </row>
    <row r="62" spans="2:7" ht="15.75">
      <c r="B62" s="7" t="s">
        <v>2</v>
      </c>
      <c r="C62" s="40">
        <f>2074+3+3+116+823+242</f>
        <v>3261</v>
      </c>
      <c r="D62" s="21"/>
      <c r="E62" s="21"/>
      <c r="F62" s="21"/>
      <c r="G62" s="21"/>
    </row>
    <row r="63" spans="2:7" ht="15.75">
      <c r="B63" s="7" t="s">
        <v>3</v>
      </c>
      <c r="C63" s="40">
        <f>292+2+64+251+5+8+200+292+981+69</f>
        <v>2164</v>
      </c>
      <c r="D63" s="21"/>
      <c r="E63" s="21"/>
      <c r="F63" s="21"/>
      <c r="G63" s="21"/>
    </row>
    <row r="64" spans="2:7" ht="15.75">
      <c r="B64" s="7" t="s">
        <v>4</v>
      </c>
      <c r="C64" s="40">
        <f>8+3+22</f>
        <v>33</v>
      </c>
      <c r="D64" s="21"/>
      <c r="E64" s="21"/>
      <c r="F64" s="21"/>
      <c r="G64" s="21"/>
    </row>
    <row r="65" spans="2:7" ht="15.75">
      <c r="B65" s="7" t="s">
        <v>15</v>
      </c>
      <c r="C65" s="40">
        <f>2875+147+1351</f>
        <v>4373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337248.56799999997</v>
      </c>
      <c r="D67" s="21"/>
      <c r="E67" s="26"/>
      <c r="F67" s="26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tabSelected="1" zoomScalePageLayoutView="0" workbookViewId="0" topLeftCell="A7">
      <selection activeCell="H22" sqref="H22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39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246872423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3396228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2329956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140973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2012099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103104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254854783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f>149261017+7897840</f>
        <v>157158857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1989233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159148090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3368631</v>
      </c>
      <c r="D24" s="21"/>
      <c r="E24" s="22"/>
      <c r="F24" s="22"/>
      <c r="G24" s="21"/>
    </row>
    <row r="25" spans="2:7" ht="15.75">
      <c r="B25" s="7" t="s">
        <v>2</v>
      </c>
      <c r="C25" s="37">
        <f>143541-C39</f>
        <v>0</v>
      </c>
      <c r="D25" s="21"/>
      <c r="E25" s="22"/>
      <c r="F25" s="26"/>
      <c r="G25" s="21"/>
    </row>
    <row r="26" spans="2:7" ht="15.75">
      <c r="B26" s="7" t="s">
        <v>3</v>
      </c>
      <c r="C26" s="37">
        <f>536252-C38</f>
        <v>514932</v>
      </c>
      <c r="D26" s="21"/>
      <c r="E26" s="22"/>
      <c r="F26" s="22"/>
      <c r="G26" s="21"/>
    </row>
    <row r="27" spans="2:7" ht="15.75">
      <c r="B27" s="7" t="s">
        <v>4</v>
      </c>
      <c r="C27" s="37">
        <v>2100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103104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3988767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86688</v>
      </c>
      <c r="D33" s="21"/>
      <c r="E33" s="21"/>
      <c r="F33" s="21"/>
      <c r="G33" s="21"/>
    </row>
    <row r="34" spans="2:7" ht="15.75">
      <c r="B34" s="7" t="s">
        <v>3</v>
      </c>
      <c r="C34" s="35">
        <v>1787684</v>
      </c>
      <c r="D34" s="21"/>
      <c r="E34" s="21"/>
      <c r="F34" s="21"/>
      <c r="G34" s="21"/>
    </row>
    <row r="35" spans="2:7" ht="16.5" thickBot="1">
      <c r="B35" s="7" t="s">
        <v>4</v>
      </c>
      <c r="C35" s="35">
        <v>138873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2013245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21320</v>
      </c>
      <c r="D38" s="21"/>
      <c r="E38" s="21"/>
      <c r="F38" s="22"/>
      <c r="G38" s="21"/>
    </row>
    <row r="39" spans="2:7" ht="16.5" thickBot="1">
      <c r="B39" s="20" t="s">
        <v>2</v>
      </c>
      <c r="C39" s="29">
        <v>143541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164861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1206690</v>
      </c>
      <c r="E42" s="5"/>
      <c r="F42" s="21"/>
      <c r="G42" s="21"/>
    </row>
    <row r="43" spans="2:7" ht="16.5" thickBot="1">
      <c r="B43" s="10" t="s">
        <v>2</v>
      </c>
      <c r="C43" s="31">
        <v>1176766</v>
      </c>
      <c r="E43" s="5"/>
      <c r="F43" s="21"/>
      <c r="G43" s="21"/>
    </row>
    <row r="44" spans="2:7" ht="16.5" thickBot="1">
      <c r="B44" s="10" t="s">
        <v>3</v>
      </c>
      <c r="C44" s="32">
        <v>1580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1012997</v>
      </c>
      <c r="E46" s="5"/>
      <c r="F46" s="21"/>
      <c r="G46" s="21"/>
    </row>
    <row r="47" spans="2:7" ht="16.5" thickBot="1">
      <c r="B47" s="1" t="s">
        <v>8</v>
      </c>
      <c r="C47" s="38">
        <f>SUM(C42:C46)</f>
        <v>3398033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79260660</v>
      </c>
      <c r="F50" s="22"/>
      <c r="G50" s="21"/>
    </row>
    <row r="51" spans="2:7" ht="15.75">
      <c r="B51" s="7" t="s">
        <v>3</v>
      </c>
      <c r="C51" s="35">
        <v>4440</v>
      </c>
      <c r="F51" s="21"/>
      <c r="G51" s="21"/>
    </row>
    <row r="52" spans="2:7" ht="16.5" thickBot="1">
      <c r="B52" s="10" t="s">
        <v>15</v>
      </c>
      <c r="C52" s="31">
        <v>154526</v>
      </c>
      <c r="F52" s="22"/>
      <c r="G52" s="21"/>
    </row>
    <row r="53" spans="2:7" ht="16.5" thickBot="1">
      <c r="B53" s="24" t="s">
        <v>8</v>
      </c>
      <c r="C53" s="44">
        <f>SUM(C50:C52)</f>
        <v>79419626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5877585</v>
      </c>
      <c r="F56" s="22"/>
      <c r="G56" s="21"/>
    </row>
    <row r="57" spans="2:7" ht="16.5" thickBot="1">
      <c r="B57" s="10" t="s">
        <v>15</v>
      </c>
      <c r="C57" s="31">
        <v>844576</v>
      </c>
      <c r="F57" s="22"/>
      <c r="G57" s="21"/>
    </row>
    <row r="58" spans="2:7" ht="16.5" thickBot="1">
      <c r="B58" s="1" t="s">
        <v>8</v>
      </c>
      <c r="C58" s="38">
        <f>SUM(C56:C57)</f>
        <v>6722161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203487+10662+994+694+3501+4222+90129+651+7+622+396+74+18257+7.114+13.052+1.675</f>
        <v>333717.841</v>
      </c>
      <c r="D61" s="21"/>
      <c r="E61" s="21"/>
      <c r="F61" s="21"/>
      <c r="G61" s="21"/>
    </row>
    <row r="62" spans="2:7" ht="15.75">
      <c r="B62" s="7" t="s">
        <v>2</v>
      </c>
      <c r="C62" s="40">
        <f>2749+111+920+239+3+3</f>
        <v>4025</v>
      </c>
      <c r="D62" s="21"/>
      <c r="E62" s="21"/>
      <c r="F62" s="21"/>
      <c r="G62" s="21"/>
    </row>
    <row r="63" spans="2:7" ht="15.75">
      <c r="B63" s="7" t="s">
        <v>3</v>
      </c>
      <c r="C63" s="40">
        <f>69+75+210+294+2+20+295+1084+10+5</f>
        <v>2064</v>
      </c>
      <c r="D63" s="21"/>
      <c r="E63" s="21"/>
      <c r="F63" s="21"/>
      <c r="G63" s="21"/>
    </row>
    <row r="64" spans="2:7" ht="15.75">
      <c r="B64" s="7" t="s">
        <v>4</v>
      </c>
      <c r="C64" s="40">
        <f>26+7+2</f>
        <v>35</v>
      </c>
      <c r="D64" s="21"/>
      <c r="E64" s="21"/>
      <c r="F64" s="21"/>
      <c r="G64" s="21"/>
    </row>
    <row r="65" spans="2:7" ht="15.75">
      <c r="B65" s="7" t="s">
        <v>15</v>
      </c>
      <c r="C65" s="40">
        <f>1566+1373+209</f>
        <v>3148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342989.841</v>
      </c>
      <c r="D67" s="21"/>
      <c r="E67" s="26"/>
      <c r="F67" s="26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25">
      <selection activeCell="C52" sqref="C52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29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172667110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1521848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1449248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142617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973012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7633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176761468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7" ht="15.75">
      <c r="B17" s="6" t="s">
        <v>1</v>
      </c>
      <c r="C17" s="36">
        <v>131030698</v>
      </c>
      <c r="D17" s="21"/>
      <c r="E17" s="21"/>
      <c r="F17" s="22"/>
      <c r="G17" s="21"/>
    </row>
    <row r="18" spans="2:7" ht="15.75">
      <c r="B18" s="7" t="s">
        <v>2</v>
      </c>
      <c r="C18" s="37">
        <v>109807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7" ht="16.5" thickBot="1">
      <c r="B22" s="1" t="s">
        <v>8</v>
      </c>
      <c r="C22" s="38">
        <f>SUM(C17:C21)</f>
        <v>131140505</v>
      </c>
      <c r="D22" s="21"/>
      <c r="E22" s="21"/>
      <c r="F22" s="22"/>
      <c r="G22" s="21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3251656</v>
      </c>
      <c r="D24" s="21"/>
      <c r="E24" s="22"/>
      <c r="F24" s="22"/>
      <c r="G24" s="21"/>
    </row>
    <row r="25" spans="2:7" ht="15.75">
      <c r="B25" s="7" t="s">
        <v>2</v>
      </c>
      <c r="C25" s="37">
        <f>371514-C39</f>
        <v>255740</v>
      </c>
      <c r="D25" s="21"/>
      <c r="E25" s="22"/>
      <c r="F25" s="26"/>
      <c r="G25" s="21"/>
    </row>
    <row r="26" spans="2:7" ht="15.75">
      <c r="B26" s="7" t="s">
        <v>3</v>
      </c>
      <c r="C26" s="37">
        <f>31080-C38</f>
        <v>13440</v>
      </c>
      <c r="D26" s="21"/>
      <c r="E26" s="22"/>
      <c r="F26" s="22"/>
      <c r="G26" s="21"/>
    </row>
    <row r="27" spans="2:7" ht="15.75">
      <c r="B27" s="7" t="s">
        <v>4</v>
      </c>
      <c r="C27" s="37">
        <v>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7633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3528469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78045</v>
      </c>
      <c r="D33" s="21"/>
      <c r="E33" s="21"/>
      <c r="F33" s="21"/>
      <c r="G33" s="21"/>
    </row>
    <row r="34" spans="2:7" ht="15.75">
      <c r="B34" s="7" t="s">
        <v>3</v>
      </c>
      <c r="C34" s="35">
        <v>1413858</v>
      </c>
      <c r="D34" s="21"/>
      <c r="E34" s="21"/>
      <c r="F34" s="21"/>
      <c r="G34" s="21"/>
    </row>
    <row r="35" spans="2:7" ht="16.5" thickBot="1">
      <c r="B35" s="7" t="s">
        <v>4</v>
      </c>
      <c r="C35" s="35">
        <v>142617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1634520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17640</v>
      </c>
      <c r="D38" s="21"/>
      <c r="E38" s="21"/>
      <c r="F38" s="22"/>
      <c r="G38" s="21"/>
    </row>
    <row r="39" spans="2:7" ht="16.5" thickBot="1">
      <c r="B39" s="20" t="s">
        <v>2</v>
      </c>
      <c r="C39" s="29">
        <v>115774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133414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1238297</v>
      </c>
      <c r="E42" s="5"/>
      <c r="F42" s="21"/>
      <c r="G42" s="21"/>
    </row>
    <row r="43" spans="2:7" ht="16.5" thickBot="1">
      <c r="B43" s="10" t="s">
        <v>2</v>
      </c>
      <c r="C43" s="31">
        <v>962482</v>
      </c>
      <c r="E43" s="5"/>
      <c r="F43" s="21"/>
      <c r="G43" s="21"/>
    </row>
    <row r="44" spans="2:7" ht="16.5" thickBot="1">
      <c r="B44" s="10" t="s">
        <v>3</v>
      </c>
      <c r="C44" s="32">
        <v>0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863951</v>
      </c>
      <c r="E46" s="5"/>
      <c r="F46" s="21"/>
      <c r="G46" s="21"/>
    </row>
    <row r="47" spans="2:7" ht="16.5" thickBot="1">
      <c r="B47" s="1" t="s">
        <v>8</v>
      </c>
      <c r="C47" s="38">
        <f>SUM(C42:C46)</f>
        <v>3064730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35678265</v>
      </c>
      <c r="F50" s="22"/>
      <c r="G50" s="21"/>
    </row>
    <row r="51" spans="2:7" ht="15.75">
      <c r="B51" s="7" t="s">
        <v>3</v>
      </c>
      <c r="C51" s="35">
        <v>4310</v>
      </c>
      <c r="F51" s="21"/>
      <c r="G51" s="21"/>
    </row>
    <row r="52" spans="2:7" ht="16.5" thickBot="1">
      <c r="B52" s="10" t="s">
        <v>15</v>
      </c>
      <c r="C52" s="31">
        <v>109061</v>
      </c>
      <c r="F52" s="22"/>
      <c r="G52" s="21"/>
    </row>
    <row r="53" spans="2:7" ht="16.5" thickBot="1">
      <c r="B53" s="24" t="s">
        <v>8</v>
      </c>
      <c r="C53" s="44">
        <f>SUM(C50:C52)</f>
        <v>35791636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1468194</v>
      </c>
      <c r="F56" s="22"/>
      <c r="G56" s="21"/>
    </row>
    <row r="57" spans="2:7" ht="16.5" thickBot="1">
      <c r="B57" s="10" t="s">
        <v>15</v>
      </c>
      <c r="C57" s="31">
        <v>0</v>
      </c>
      <c r="F57" s="22"/>
      <c r="G57" s="21"/>
    </row>
    <row r="58" spans="2:7" ht="16.5" thickBot="1">
      <c r="B58" s="1" t="s">
        <v>8</v>
      </c>
      <c r="C58" s="38">
        <f>SUM(C56:C57)</f>
        <v>1468194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14505+936+1984+37547+1073+3.547+6.576+11.647+78+584+656+650+1154+195187</f>
        <v>254375.77</v>
      </c>
      <c r="D61" s="21"/>
      <c r="E61" s="21"/>
      <c r="F61" s="21"/>
      <c r="G61" s="21"/>
    </row>
    <row r="62" spans="2:7" ht="15.75">
      <c r="B62" s="7" t="s">
        <v>2</v>
      </c>
      <c r="C62" s="40">
        <f>233+3+3+1.436+110+764+164</f>
        <v>1278.4360000000001</v>
      </c>
      <c r="D62" s="21"/>
      <c r="E62" s="21"/>
      <c r="F62" s="21"/>
      <c r="G62" s="21"/>
    </row>
    <row r="63" spans="2:7" ht="15.75">
      <c r="B63" s="7" t="s">
        <v>3</v>
      </c>
      <c r="C63" s="40">
        <f>57+1189+3+9+193+79</f>
        <v>1530</v>
      </c>
      <c r="D63" s="21"/>
      <c r="E63" s="21"/>
      <c r="F63" s="21"/>
      <c r="G63" s="21"/>
    </row>
    <row r="64" spans="2:7" ht="15.75">
      <c r="B64" s="7" t="s">
        <v>4</v>
      </c>
      <c r="C64" s="40">
        <f>7+2+24</f>
        <v>33</v>
      </c>
      <c r="D64" s="21"/>
      <c r="E64" s="21"/>
      <c r="F64" s="21"/>
      <c r="G64" s="21"/>
    </row>
    <row r="65" spans="2:7" ht="15.75">
      <c r="B65" s="7" t="s">
        <v>15</v>
      </c>
      <c r="C65" s="40">
        <f>164+1318</f>
        <v>1482</v>
      </c>
      <c r="D65" s="21"/>
      <c r="E65" s="21"/>
      <c r="F65" s="21"/>
      <c r="G65" s="21"/>
    </row>
    <row r="66" spans="2:7" ht="16.5" thickBot="1">
      <c r="B66" s="39" t="s">
        <v>28</v>
      </c>
      <c r="C66" s="41">
        <v>7</v>
      </c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258706.20599999998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49">
      <selection activeCell="E10" sqref="E10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30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46">
        <f>C17+C24+C32+C42+C50+C56</f>
        <v>190257036</v>
      </c>
      <c r="D8" s="21"/>
      <c r="E8" s="17"/>
      <c r="F8" s="22"/>
      <c r="G8" s="21"/>
    </row>
    <row r="9" spans="2:7" ht="15.75">
      <c r="B9" s="7" t="s">
        <v>2</v>
      </c>
      <c r="C9" s="56">
        <f>C18+C25+C33+C43+C39</f>
        <v>1764955</v>
      </c>
      <c r="D9" s="21"/>
      <c r="E9" s="21"/>
      <c r="F9" s="21"/>
      <c r="G9" s="22"/>
    </row>
    <row r="10" spans="2:7" ht="15.75">
      <c r="B10" s="7" t="s">
        <v>3</v>
      </c>
      <c r="C10" s="56">
        <f>C19+C26+C34+C38+C51+C44</f>
        <v>1533835</v>
      </c>
      <c r="D10" s="21"/>
      <c r="E10" s="21"/>
      <c r="F10" s="22"/>
      <c r="G10" s="21"/>
    </row>
    <row r="11" spans="2:7" ht="15.75">
      <c r="B11" s="7" t="s">
        <v>4</v>
      </c>
      <c r="C11" s="56">
        <f>C20+C27+C35+C45</f>
        <v>141361</v>
      </c>
      <c r="D11" s="21"/>
      <c r="E11" s="21"/>
      <c r="F11" s="21"/>
      <c r="G11" s="22"/>
    </row>
    <row r="12" spans="2:7" ht="15.75">
      <c r="B12" s="7" t="s">
        <v>9</v>
      </c>
      <c r="C12" s="56">
        <f>C28+C52+C46+C57</f>
        <v>1059519</v>
      </c>
      <c r="D12" s="21"/>
      <c r="E12" s="21"/>
      <c r="F12" s="21"/>
      <c r="G12" s="21"/>
    </row>
    <row r="13" spans="2:7" ht="16.5" thickBot="1">
      <c r="B13" s="39" t="s">
        <v>28</v>
      </c>
      <c r="C13" s="57">
        <f>C29</f>
        <v>1500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194758206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53">
        <v>140432092</v>
      </c>
      <c r="D17" s="21"/>
      <c r="E17" s="21"/>
      <c r="F17" s="22"/>
      <c r="G17" s="21"/>
      <c r="I17" s="5"/>
    </row>
    <row r="18" spans="2:7" ht="15.75">
      <c r="B18" s="7" t="s">
        <v>2</v>
      </c>
      <c r="C18" s="54">
        <v>334491</v>
      </c>
      <c r="D18" s="21"/>
      <c r="E18" s="21"/>
      <c r="F18" s="22"/>
      <c r="G18" s="21"/>
    </row>
    <row r="19" spans="2:7" ht="15.75">
      <c r="B19" s="7" t="s">
        <v>3</v>
      </c>
      <c r="C19" s="54">
        <v>0</v>
      </c>
      <c r="D19" s="21"/>
      <c r="E19" s="21"/>
      <c r="F19" s="22"/>
      <c r="G19" s="21"/>
    </row>
    <row r="20" spans="2:7" ht="15.75">
      <c r="B20" s="7" t="s">
        <v>4</v>
      </c>
      <c r="C20" s="54">
        <v>0</v>
      </c>
      <c r="D20" s="21"/>
      <c r="E20" s="21"/>
      <c r="F20" s="22"/>
      <c r="G20" s="21"/>
    </row>
    <row r="21" spans="2:7" ht="16.5" thickBot="1">
      <c r="B21" s="7" t="s">
        <v>10</v>
      </c>
      <c r="C21" s="54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140766583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53">
        <v>3351994</v>
      </c>
      <c r="D24" s="21"/>
      <c r="E24" s="22"/>
      <c r="F24" s="22"/>
      <c r="G24" s="21"/>
    </row>
    <row r="25" spans="2:7" ht="15.75">
      <c r="B25" s="7" t="s">
        <v>2</v>
      </c>
      <c r="C25" s="54">
        <f>295564-C39</f>
        <v>161821</v>
      </c>
      <c r="D25" s="21"/>
      <c r="E25" s="22"/>
      <c r="F25" s="26"/>
      <c r="G25" s="21"/>
    </row>
    <row r="26" spans="2:7" ht="15.75">
      <c r="B26" s="7" t="s">
        <v>3</v>
      </c>
      <c r="C26" s="54">
        <f>38200-C38</f>
        <v>13200</v>
      </c>
      <c r="D26" s="21"/>
      <c r="E26" s="22"/>
      <c r="F26" s="22"/>
      <c r="G26" s="21"/>
    </row>
    <row r="27" spans="2:7" ht="15.75">
      <c r="B27" s="7" t="s">
        <v>4</v>
      </c>
      <c r="C27" s="54">
        <v>2296</v>
      </c>
      <c r="D27" s="21"/>
      <c r="E27" s="22"/>
      <c r="F27" s="21"/>
      <c r="G27" s="21"/>
    </row>
    <row r="28" spans="2:7" ht="15.75">
      <c r="B28" s="7" t="s">
        <v>15</v>
      </c>
      <c r="C28" s="54">
        <v>0</v>
      </c>
      <c r="D28" s="21"/>
      <c r="E28" s="22"/>
      <c r="F28" s="21"/>
      <c r="G28" s="21"/>
    </row>
    <row r="29" spans="2:7" ht="16.5" thickBot="1">
      <c r="B29" s="42" t="s">
        <v>28</v>
      </c>
      <c r="C29" s="55">
        <v>1500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3530811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52">
        <v>0</v>
      </c>
      <c r="D32" s="21"/>
      <c r="E32" s="21"/>
      <c r="F32" s="22"/>
      <c r="G32" s="21"/>
    </row>
    <row r="33" spans="2:7" ht="15.75">
      <c r="B33" s="7" t="s">
        <v>2</v>
      </c>
      <c r="C33" s="49">
        <v>86195</v>
      </c>
      <c r="D33" s="21"/>
      <c r="E33" s="21"/>
      <c r="F33" s="21"/>
      <c r="G33" s="21"/>
    </row>
    <row r="34" spans="2:7" ht="15.75">
      <c r="B34" s="7" t="s">
        <v>3</v>
      </c>
      <c r="C34" s="49">
        <v>1492175</v>
      </c>
      <c r="D34" s="21"/>
      <c r="E34" s="21"/>
      <c r="F34" s="21"/>
      <c r="G34" s="21"/>
    </row>
    <row r="35" spans="2:7" ht="16.5" thickBot="1">
      <c r="B35" s="7" t="s">
        <v>4</v>
      </c>
      <c r="C35" s="49">
        <v>139065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1717435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46">
        <v>25000</v>
      </c>
      <c r="D38" s="21"/>
      <c r="E38" s="21"/>
      <c r="F38" s="22"/>
      <c r="G38" s="21"/>
    </row>
    <row r="39" spans="2:7" ht="16.5" thickBot="1">
      <c r="B39" s="20" t="s">
        <v>2</v>
      </c>
      <c r="C39" s="45">
        <v>133743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158743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47">
        <v>1448286</v>
      </c>
      <c r="E42" s="5"/>
      <c r="F42" s="21"/>
      <c r="G42" s="21"/>
    </row>
    <row r="43" spans="2:7" ht="16.5" thickBot="1">
      <c r="B43" s="10" t="s">
        <v>2</v>
      </c>
      <c r="C43" s="48">
        <v>1048705</v>
      </c>
      <c r="E43" s="5"/>
      <c r="F43" s="21"/>
      <c r="G43" s="21"/>
    </row>
    <row r="44" spans="2:7" ht="16.5" thickBot="1">
      <c r="B44" s="10" t="s">
        <v>3</v>
      </c>
      <c r="C44" s="50">
        <v>0</v>
      </c>
      <c r="E44" s="5"/>
      <c r="F44" s="21"/>
      <c r="G44" s="21"/>
    </row>
    <row r="45" spans="2:7" ht="15.75">
      <c r="B45" s="8" t="s">
        <v>4</v>
      </c>
      <c r="C45" s="50">
        <v>0</v>
      </c>
      <c r="E45" s="5"/>
      <c r="F45" s="21"/>
      <c r="G45" s="21"/>
    </row>
    <row r="46" spans="2:7" ht="16.5" thickBot="1">
      <c r="B46" s="7" t="s">
        <v>15</v>
      </c>
      <c r="C46" s="51">
        <v>951961</v>
      </c>
      <c r="E46" s="5"/>
      <c r="F46" s="21"/>
      <c r="G46" s="21"/>
    </row>
    <row r="47" spans="2:7" ht="16.5" thickBot="1">
      <c r="B47" s="1" t="s">
        <v>8</v>
      </c>
      <c r="C47" s="38">
        <f>SUM(C42:C46)</f>
        <v>3448952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46">
        <v>43089160</v>
      </c>
      <c r="F50" s="22"/>
      <c r="G50" s="21"/>
    </row>
    <row r="51" spans="2:7" ht="15.75">
      <c r="B51" s="7" t="s">
        <v>3</v>
      </c>
      <c r="C51" s="49">
        <v>3460</v>
      </c>
      <c r="F51" s="21"/>
      <c r="G51" s="21"/>
    </row>
    <row r="52" spans="2:7" ht="16.5" thickBot="1">
      <c r="B52" s="10" t="s">
        <v>15</v>
      </c>
      <c r="C52" s="48">
        <v>107483</v>
      </c>
      <c r="F52" s="22"/>
      <c r="G52" s="21"/>
    </row>
    <row r="53" spans="2:7" ht="16.5" thickBot="1">
      <c r="B53" s="24" t="s">
        <v>8</v>
      </c>
      <c r="C53" s="44">
        <f>SUM(C50:C52)</f>
        <v>43200103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47">
        <v>1935504</v>
      </c>
      <c r="F56" s="22"/>
      <c r="G56" s="21"/>
    </row>
    <row r="57" spans="2:7" ht="16.5" thickBot="1">
      <c r="B57" s="10" t="s">
        <v>15</v>
      </c>
      <c r="C57" s="48">
        <v>75</v>
      </c>
      <c r="F57" s="22"/>
      <c r="G57" s="21"/>
    </row>
    <row r="58" spans="2:7" ht="16.5" thickBot="1">
      <c r="B58" s="1" t="s">
        <v>8</v>
      </c>
      <c r="C58" s="38">
        <f>SUM(C56:C57)</f>
        <v>1935579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12133+1216+44224+2205+1001+189380+6.437+12.13+7+3.457+674+618+72+688+685</f>
        <v>252925.024</v>
      </c>
      <c r="D61" s="21"/>
      <c r="E61" s="21"/>
      <c r="F61" s="21"/>
      <c r="G61" s="21"/>
    </row>
    <row r="62" spans="2:7" ht="15.75">
      <c r="B62" s="7" t="s">
        <v>2</v>
      </c>
      <c r="C62" s="40">
        <f>452+3+1.435+3+110+763+221</f>
        <v>1553.435</v>
      </c>
      <c r="D62" s="21"/>
      <c r="E62" s="21"/>
      <c r="F62" s="21"/>
      <c r="G62" s="21"/>
    </row>
    <row r="63" spans="2:7" ht="15.75">
      <c r="B63" s="7" t="s">
        <v>3</v>
      </c>
      <c r="C63" s="40">
        <f>79+9+3+171+976+54</f>
        <v>1292</v>
      </c>
      <c r="D63" s="21"/>
      <c r="E63" s="21"/>
      <c r="F63" s="21"/>
      <c r="G63" s="21"/>
    </row>
    <row r="64" spans="2:7" ht="15.75">
      <c r="B64" s="7" t="s">
        <v>4</v>
      </c>
      <c r="C64" s="40">
        <f>23+7+2</f>
        <v>32</v>
      </c>
      <c r="D64" s="21"/>
      <c r="E64" s="21"/>
      <c r="F64" s="21"/>
      <c r="G64" s="21"/>
    </row>
    <row r="65" spans="2:7" ht="15.75">
      <c r="B65" s="7" t="s">
        <v>15</v>
      </c>
      <c r="C65" s="40">
        <f>145+1318</f>
        <v>1463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257265.459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40">
      <selection activeCell="B7" sqref="B7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31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46">
        <f>C17+C24+C32+C42+C50+C56</f>
        <v>182324474</v>
      </c>
      <c r="D8" s="21"/>
      <c r="E8" s="17"/>
      <c r="F8" s="22"/>
      <c r="G8" s="21"/>
    </row>
    <row r="9" spans="2:7" ht="15.75">
      <c r="B9" s="7" t="s">
        <v>2</v>
      </c>
      <c r="C9" s="56">
        <f>C18+C25+C33+C43+C39</f>
        <v>1440061</v>
      </c>
      <c r="D9" s="21"/>
      <c r="E9" s="21"/>
      <c r="F9" s="21"/>
      <c r="G9" s="22"/>
    </row>
    <row r="10" spans="2:7" ht="15.75">
      <c r="B10" s="7" t="s">
        <v>3</v>
      </c>
      <c r="C10" s="56">
        <f>C19+C26+C34+C38+C51+C44</f>
        <v>1359169</v>
      </c>
      <c r="D10" s="21"/>
      <c r="E10" s="21"/>
      <c r="F10" s="22"/>
      <c r="G10" s="21"/>
    </row>
    <row r="11" spans="2:7" ht="15.75">
      <c r="B11" s="7" t="s">
        <v>4</v>
      </c>
      <c r="C11" s="56">
        <f>C20+C27+C35+C45</f>
        <v>139992</v>
      </c>
      <c r="D11" s="21"/>
      <c r="E11" s="21"/>
      <c r="F11" s="21"/>
      <c r="G11" s="22"/>
    </row>
    <row r="12" spans="2:7" ht="15.75">
      <c r="B12" s="7" t="s">
        <v>9</v>
      </c>
      <c r="C12" s="56">
        <f>C28+C52+C46+C57</f>
        <v>970623</v>
      </c>
      <c r="D12" s="21"/>
      <c r="E12" s="21"/>
      <c r="F12" s="21"/>
      <c r="G12" s="21"/>
    </row>
    <row r="13" spans="2:7" ht="16.5" thickBot="1">
      <c r="B13" s="39" t="s">
        <v>28</v>
      </c>
      <c r="C13" s="57">
        <f>C29</f>
        <v>1500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186235819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v>132463605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1043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132464648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3032873</v>
      </c>
      <c r="D24" s="21"/>
      <c r="E24" s="22"/>
      <c r="F24" s="22"/>
      <c r="G24" s="21"/>
    </row>
    <row r="25" spans="2:7" ht="15.75">
      <c r="B25" s="7" t="s">
        <v>2</v>
      </c>
      <c r="C25" s="37">
        <f>457226-C39</f>
        <v>358157</v>
      </c>
      <c r="D25" s="21"/>
      <c r="E25" s="22"/>
      <c r="F25" s="26"/>
      <c r="G25" s="21"/>
    </row>
    <row r="26" spans="2:7" ht="15.75">
      <c r="B26" s="7" t="s">
        <v>3</v>
      </c>
      <c r="C26" s="37">
        <f>41380-C38</f>
        <v>12540</v>
      </c>
      <c r="D26" s="21"/>
      <c r="E26" s="22"/>
      <c r="F26" s="22"/>
      <c r="G26" s="21"/>
    </row>
    <row r="27" spans="2:7" ht="15.75">
      <c r="B27" s="7" t="s">
        <v>4</v>
      </c>
      <c r="C27" s="37">
        <v>1168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1500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3406238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82533</v>
      </c>
      <c r="D33" s="21"/>
      <c r="E33" s="21"/>
      <c r="F33" s="21"/>
      <c r="G33" s="21"/>
    </row>
    <row r="34" spans="2:7" ht="15.75">
      <c r="B34" s="7" t="s">
        <v>3</v>
      </c>
      <c r="C34" s="35">
        <v>1314089</v>
      </c>
      <c r="D34" s="21"/>
      <c r="E34" s="21"/>
      <c r="F34" s="21"/>
      <c r="G34" s="21"/>
    </row>
    <row r="35" spans="2:7" ht="16.5" thickBot="1">
      <c r="B35" s="7" t="s">
        <v>4</v>
      </c>
      <c r="C35" s="35">
        <v>138824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1535446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28840</v>
      </c>
      <c r="D38" s="21"/>
      <c r="E38" s="21"/>
      <c r="F38" s="22"/>
      <c r="G38" s="21"/>
    </row>
    <row r="39" spans="2:7" ht="16.5" thickBot="1">
      <c r="B39" s="20" t="s">
        <v>2</v>
      </c>
      <c r="C39" s="29">
        <v>99069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127909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1307243</v>
      </c>
      <c r="E42" s="5"/>
      <c r="F42" s="21"/>
      <c r="G42" s="21"/>
    </row>
    <row r="43" spans="2:7" ht="16.5" thickBot="1">
      <c r="B43" s="10" t="s">
        <v>2</v>
      </c>
      <c r="C43" s="31">
        <v>899259</v>
      </c>
      <c r="E43" s="5"/>
      <c r="F43" s="21"/>
      <c r="G43" s="21"/>
    </row>
    <row r="44" spans="2:7" ht="16.5" thickBot="1">
      <c r="B44" s="10" t="s">
        <v>3</v>
      </c>
      <c r="C44" s="32">
        <v>0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858290</v>
      </c>
      <c r="E46" s="5"/>
      <c r="F46" s="21"/>
      <c r="G46" s="21"/>
    </row>
    <row r="47" spans="2:7" ht="16.5" thickBot="1">
      <c r="B47" s="1" t="s">
        <v>8</v>
      </c>
      <c r="C47" s="38">
        <f>SUM(C42:C46)</f>
        <v>3064792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44107689</v>
      </c>
      <c r="F50" s="22"/>
      <c r="G50" s="21"/>
    </row>
    <row r="51" spans="2:7" ht="15.75">
      <c r="B51" s="7" t="s">
        <v>3</v>
      </c>
      <c r="C51" s="35">
        <v>3700</v>
      </c>
      <c r="F51" s="21"/>
      <c r="G51" s="21"/>
    </row>
    <row r="52" spans="2:7" ht="16.5" thickBot="1">
      <c r="B52" s="10" t="s">
        <v>15</v>
      </c>
      <c r="C52" s="31">
        <v>112333</v>
      </c>
      <c r="F52" s="22"/>
      <c r="G52" s="21"/>
    </row>
    <row r="53" spans="2:7" ht="16.5" thickBot="1">
      <c r="B53" s="24" t="s">
        <v>8</v>
      </c>
      <c r="C53" s="44">
        <f>SUM(C50:C52)</f>
        <v>44223722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1413064</v>
      </c>
      <c r="F56" s="22"/>
      <c r="G56" s="21"/>
    </row>
    <row r="57" spans="2:7" ht="16.5" thickBot="1">
      <c r="B57" s="10" t="s">
        <v>15</v>
      </c>
      <c r="C57" s="31">
        <v>0</v>
      </c>
      <c r="F57" s="22"/>
      <c r="G57" s="21"/>
    </row>
    <row r="58" spans="2:7" ht="16.5" thickBot="1">
      <c r="B58" s="1" t="s">
        <v>8</v>
      </c>
      <c r="C58" s="38">
        <f>SUM(C56:C57)</f>
        <v>1413064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182755+531+11910+46604+845+1609+638+59+11.087+6+3.291+552+537+6.525+1192</f>
        <v>247258.903</v>
      </c>
      <c r="D61" s="21"/>
      <c r="E61" s="21"/>
      <c r="F61" s="21"/>
      <c r="G61" s="21"/>
    </row>
    <row r="62" spans="2:7" ht="15.75">
      <c r="B62" s="7" t="s">
        <v>2</v>
      </c>
      <c r="C62" s="40">
        <f>1+162+109+742+3+1.521+3</f>
        <v>1021.521</v>
      </c>
      <c r="D62" s="21"/>
      <c r="E62" s="21"/>
      <c r="F62" s="21"/>
      <c r="G62" s="21"/>
    </row>
    <row r="63" spans="2:7" ht="15.75">
      <c r="B63" s="7" t="s">
        <v>3</v>
      </c>
      <c r="C63" s="40">
        <f>45+832+158+8+3+78</f>
        <v>1124</v>
      </c>
      <c r="D63" s="21"/>
      <c r="E63" s="21"/>
      <c r="F63" s="21"/>
      <c r="G63" s="21"/>
    </row>
    <row r="64" spans="2:7" ht="15.75">
      <c r="B64" s="7" t="s">
        <v>4</v>
      </c>
      <c r="C64" s="40">
        <f>2+8+25</f>
        <v>35</v>
      </c>
      <c r="D64" s="21"/>
      <c r="E64" s="21"/>
      <c r="F64" s="21"/>
      <c r="G64" s="21"/>
    </row>
    <row r="65" spans="2:7" ht="15.75">
      <c r="B65" s="7" t="s">
        <v>15</v>
      </c>
      <c r="C65" s="40">
        <f>156+1230</f>
        <v>1386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250825.424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46">
      <selection activeCell="F16" sqref="F16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32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46">
        <f>C17+C24+C32+C42+C50+C56</f>
        <v>185991771</v>
      </c>
      <c r="D8" s="21"/>
      <c r="E8" s="17"/>
      <c r="F8" s="22"/>
      <c r="G8" s="21"/>
    </row>
    <row r="9" spans="2:7" ht="15.75">
      <c r="B9" s="7" t="s">
        <v>2</v>
      </c>
      <c r="C9" s="56">
        <f>C18+C25+C33+C43+C39</f>
        <v>1450574</v>
      </c>
      <c r="D9" s="21"/>
      <c r="E9" s="21"/>
      <c r="F9" s="21"/>
      <c r="G9" s="22"/>
    </row>
    <row r="10" spans="2:7" ht="15.75">
      <c r="B10" s="7" t="s">
        <v>3</v>
      </c>
      <c r="C10" s="56">
        <f>C19+C26+C34+C38+C51+C44</f>
        <v>869072</v>
      </c>
      <c r="D10" s="21"/>
      <c r="E10" s="21"/>
      <c r="F10" s="22"/>
      <c r="G10" s="21"/>
    </row>
    <row r="11" spans="2:7" ht="15.75">
      <c r="B11" s="7" t="s">
        <v>4</v>
      </c>
      <c r="C11" s="56">
        <f>C20+C27+C35+C45</f>
        <v>120407</v>
      </c>
      <c r="D11" s="21"/>
      <c r="E11" s="21"/>
      <c r="F11" s="21"/>
      <c r="G11" s="22"/>
    </row>
    <row r="12" spans="2:7" ht="15.75">
      <c r="B12" s="7" t="s">
        <v>9</v>
      </c>
      <c r="C12" s="56">
        <f>C28+C52+C46+C57</f>
        <v>1024277</v>
      </c>
      <c r="D12" s="21"/>
      <c r="E12" s="21"/>
      <c r="F12" s="21"/>
      <c r="G12" s="21"/>
    </row>
    <row r="13" spans="2:7" ht="16.5" thickBot="1">
      <c r="B13" s="39" t="s">
        <v>28</v>
      </c>
      <c r="C13" s="57">
        <f>C29</f>
        <v>1500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189457601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53">
        <v>131245018</v>
      </c>
      <c r="D17" s="21"/>
      <c r="E17" s="21"/>
      <c r="F17" s="22"/>
      <c r="G17" s="21"/>
      <c r="I17" s="5"/>
    </row>
    <row r="18" spans="2:7" ht="15.75">
      <c r="B18" s="7" t="s">
        <v>2</v>
      </c>
      <c r="C18" s="54">
        <v>163245</v>
      </c>
      <c r="D18" s="21"/>
      <c r="E18" s="21"/>
      <c r="F18" s="22"/>
      <c r="G18" s="21"/>
    </row>
    <row r="19" spans="2:7" ht="15.75">
      <c r="B19" s="7" t="s">
        <v>3</v>
      </c>
      <c r="C19" s="54">
        <v>0</v>
      </c>
      <c r="D19" s="21"/>
      <c r="E19" s="21"/>
      <c r="F19" s="22"/>
      <c r="G19" s="21"/>
    </row>
    <row r="20" spans="2:7" ht="15.75">
      <c r="B20" s="7" t="s">
        <v>4</v>
      </c>
      <c r="C20" s="54">
        <v>0</v>
      </c>
      <c r="D20" s="21"/>
      <c r="E20" s="21"/>
      <c r="F20" s="22"/>
      <c r="G20" s="21"/>
    </row>
    <row r="21" spans="2:7" ht="16.5" thickBot="1">
      <c r="B21" s="7" t="s">
        <v>10</v>
      </c>
      <c r="C21" s="54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131408263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53">
        <v>2917905</v>
      </c>
      <c r="D24" s="21"/>
      <c r="E24" s="22"/>
      <c r="F24" s="22"/>
      <c r="G24" s="21"/>
    </row>
    <row r="25" spans="2:7" ht="15.75">
      <c r="B25" s="7" t="s">
        <v>2</v>
      </c>
      <c r="C25" s="54">
        <f>454896-C39</f>
        <v>384701</v>
      </c>
      <c r="D25" s="21"/>
      <c r="E25" s="22"/>
      <c r="F25" s="26"/>
      <c r="G25" s="21"/>
    </row>
    <row r="26" spans="2:7" ht="15.75">
      <c r="B26" s="7" t="s">
        <v>3</v>
      </c>
      <c r="C26" s="54">
        <f>21860-C38</f>
        <v>6420</v>
      </c>
      <c r="D26" s="21"/>
      <c r="E26" s="22"/>
      <c r="F26" s="22"/>
      <c r="G26" s="21"/>
    </row>
    <row r="27" spans="2:7" ht="15.75">
      <c r="B27" s="7" t="s">
        <v>4</v>
      </c>
      <c r="C27" s="54">
        <v>900</v>
      </c>
      <c r="D27" s="21"/>
      <c r="E27" s="22"/>
      <c r="F27" s="21"/>
      <c r="G27" s="21"/>
    </row>
    <row r="28" spans="2:7" ht="15.75">
      <c r="B28" s="7" t="s">
        <v>15</v>
      </c>
      <c r="C28" s="54">
        <v>0</v>
      </c>
      <c r="D28" s="21"/>
      <c r="E28" s="22"/>
      <c r="F28" s="21"/>
      <c r="G28" s="21"/>
    </row>
    <row r="29" spans="2:7" ht="16.5" thickBot="1">
      <c r="B29" s="42" t="s">
        <v>28</v>
      </c>
      <c r="C29" s="55">
        <v>1500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3311426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52">
        <v>0</v>
      </c>
      <c r="D32" s="21"/>
      <c r="E32" s="21"/>
      <c r="F32" s="22"/>
      <c r="G32" s="21"/>
    </row>
    <row r="33" spans="2:7" ht="15.75">
      <c r="B33" s="7" t="s">
        <v>2</v>
      </c>
      <c r="C33" s="49">
        <v>74395</v>
      </c>
      <c r="D33" s="21"/>
      <c r="E33" s="21"/>
      <c r="F33" s="21"/>
      <c r="G33" s="21"/>
    </row>
    <row r="34" spans="2:7" ht="15.75">
      <c r="B34" s="7" t="s">
        <v>3</v>
      </c>
      <c r="C34" s="49">
        <v>843724</v>
      </c>
      <c r="D34" s="21"/>
      <c r="E34" s="21"/>
      <c r="F34" s="21"/>
      <c r="G34" s="21"/>
    </row>
    <row r="35" spans="2:7" ht="16.5" thickBot="1">
      <c r="B35" s="7" t="s">
        <v>4</v>
      </c>
      <c r="C35" s="49">
        <v>119507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1037626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46">
        <v>15440</v>
      </c>
      <c r="D38" s="21"/>
      <c r="E38" s="21"/>
      <c r="F38" s="22"/>
      <c r="G38" s="21"/>
    </row>
    <row r="39" spans="2:7" ht="16.5" thickBot="1">
      <c r="B39" s="20" t="s">
        <v>2</v>
      </c>
      <c r="C39" s="45">
        <v>70195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85635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47">
        <v>909261</v>
      </c>
      <c r="E42" s="5"/>
      <c r="F42" s="21"/>
      <c r="G42" s="21"/>
    </row>
    <row r="43" spans="2:7" ht="16.5" thickBot="1">
      <c r="B43" s="10" t="s">
        <v>2</v>
      </c>
      <c r="C43" s="48">
        <v>758038</v>
      </c>
      <c r="E43" s="5"/>
      <c r="F43" s="21"/>
      <c r="G43" s="21"/>
    </row>
    <row r="44" spans="2:7" ht="16.5" thickBot="1">
      <c r="B44" s="10" t="s">
        <v>3</v>
      </c>
      <c r="C44" s="50">
        <v>388</v>
      </c>
      <c r="E44" s="5"/>
      <c r="F44" s="21"/>
      <c r="G44" s="21"/>
    </row>
    <row r="45" spans="2:7" ht="15.75">
      <c r="B45" s="8" t="s">
        <v>4</v>
      </c>
      <c r="C45" s="50">
        <v>0</v>
      </c>
      <c r="E45" s="5"/>
      <c r="F45" s="21"/>
      <c r="G45" s="21"/>
    </row>
    <row r="46" spans="2:7" ht="16.5" thickBot="1">
      <c r="B46" s="7" t="s">
        <v>15</v>
      </c>
      <c r="C46" s="51">
        <v>858942</v>
      </c>
      <c r="E46" s="5"/>
      <c r="F46" s="21"/>
      <c r="G46" s="21"/>
    </row>
    <row r="47" spans="2:7" ht="16.5" thickBot="1">
      <c r="B47" s="1" t="s">
        <v>8</v>
      </c>
      <c r="C47" s="38">
        <f>SUM(C42:C46)</f>
        <v>2526629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46">
        <v>47025340</v>
      </c>
      <c r="F50" s="22"/>
      <c r="G50" s="21"/>
    </row>
    <row r="51" spans="2:7" ht="15.75">
      <c r="B51" s="7" t="s">
        <v>3</v>
      </c>
      <c r="C51" s="49">
        <v>3100</v>
      </c>
      <c r="F51" s="21"/>
      <c r="G51" s="21"/>
    </row>
    <row r="52" spans="2:7" ht="16.5" thickBot="1">
      <c r="B52" s="10" t="s">
        <v>15</v>
      </c>
      <c r="C52" s="48">
        <v>164556</v>
      </c>
      <c r="F52" s="22"/>
      <c r="G52" s="21"/>
    </row>
    <row r="53" spans="2:7" ht="16.5" thickBot="1">
      <c r="B53" s="24" t="s">
        <v>8</v>
      </c>
      <c r="C53" s="44">
        <f>SUM(C50:C52)</f>
        <v>47192996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47">
        <v>3894247</v>
      </c>
      <c r="F56" s="22"/>
      <c r="G56" s="21"/>
    </row>
    <row r="57" spans="2:7" ht="16.5" thickBot="1">
      <c r="B57" s="10" t="s">
        <v>15</v>
      </c>
      <c r="C57" s="48">
        <v>779</v>
      </c>
      <c r="F57" s="22"/>
      <c r="G57" s="21"/>
    </row>
    <row r="58" spans="2:7" ht="16.5" thickBot="1">
      <c r="B58" s="1" t="s">
        <v>8</v>
      </c>
      <c r="C58" s="38">
        <f>SUM(C56:C57)</f>
        <v>3895026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1005+176409+47777+3789+13459+5+378+519+598+3.271+6.719+10.872+431+763+51</f>
        <v>245204.86200000002</v>
      </c>
      <c r="D61" s="21"/>
      <c r="E61" s="21"/>
      <c r="F61" s="21"/>
      <c r="G61" s="21"/>
    </row>
    <row r="62" spans="2:7" ht="15.75">
      <c r="B62" s="7" t="s">
        <v>2</v>
      </c>
      <c r="C62" s="40">
        <f>220+3+94+701+3+1.691+123</f>
        <v>1145.691</v>
      </c>
      <c r="D62" s="21"/>
      <c r="E62" s="21"/>
      <c r="F62" s="21"/>
      <c r="G62" s="21"/>
    </row>
    <row r="63" spans="2:7" ht="15.75">
      <c r="B63" s="7" t="s">
        <v>3</v>
      </c>
      <c r="C63" s="40">
        <f>30+155+3+8+464+46</f>
        <v>706</v>
      </c>
      <c r="D63" s="21"/>
      <c r="E63" s="21"/>
      <c r="F63" s="21"/>
      <c r="G63" s="21"/>
    </row>
    <row r="64" spans="2:7" ht="15.75">
      <c r="B64" s="7" t="s">
        <v>4</v>
      </c>
      <c r="C64" s="40">
        <f>8+2+13</f>
        <v>23</v>
      </c>
      <c r="D64" s="21"/>
      <c r="E64" s="21"/>
      <c r="F64" s="21"/>
      <c r="G64" s="21"/>
    </row>
    <row r="65" spans="2:7" ht="15.75">
      <c r="B65" s="7" t="s">
        <v>15</v>
      </c>
      <c r="C65" s="40">
        <f>224+1206</f>
        <v>1430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248509.553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33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46">
        <f>C17+C24+C32+C42+C50+C56</f>
        <v>194542219</v>
      </c>
      <c r="D8" s="21"/>
      <c r="E8" s="17"/>
      <c r="F8" s="22"/>
      <c r="G8" s="21"/>
    </row>
    <row r="9" spans="2:7" ht="15.75">
      <c r="B9" s="7" t="s">
        <v>2</v>
      </c>
      <c r="C9" s="56">
        <f>C18+C25+C33+C43+C39</f>
        <v>1113955</v>
      </c>
      <c r="D9" s="21"/>
      <c r="E9" s="21"/>
      <c r="F9" s="21"/>
      <c r="G9" s="22"/>
    </row>
    <row r="10" spans="2:7" ht="15.75">
      <c r="B10" s="7" t="s">
        <v>3</v>
      </c>
      <c r="C10" s="56">
        <f>C19+C26+C34+C38+C51+C44</f>
        <v>764146</v>
      </c>
      <c r="D10" s="21"/>
      <c r="E10" s="21"/>
      <c r="F10" s="22"/>
      <c r="G10" s="21"/>
    </row>
    <row r="11" spans="2:7" ht="15.75">
      <c r="B11" s="7" t="s">
        <v>4</v>
      </c>
      <c r="C11" s="56">
        <f>C20+C27+C35+C45</f>
        <v>107370</v>
      </c>
      <c r="D11" s="21"/>
      <c r="E11" s="21"/>
      <c r="F11" s="21"/>
      <c r="G11" s="22"/>
    </row>
    <row r="12" spans="2:7" ht="15.75">
      <c r="B12" s="7" t="s">
        <v>9</v>
      </c>
      <c r="C12" s="56">
        <f>C28+C52+C46+C57</f>
        <v>973039</v>
      </c>
      <c r="D12" s="21"/>
      <c r="E12" s="21"/>
      <c r="F12" s="21"/>
      <c r="G12" s="21"/>
    </row>
    <row r="13" spans="2:7" ht="16.5" thickBot="1">
      <c r="B13" s="39" t="s">
        <v>28</v>
      </c>
      <c r="C13" s="57">
        <f>C29</f>
        <v>1500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197502229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v>129237985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2256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129240241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2569872</v>
      </c>
      <c r="D24" s="21"/>
      <c r="E24" s="22"/>
      <c r="F24" s="22"/>
      <c r="G24" s="21"/>
    </row>
    <row r="25" spans="2:7" ht="15.75">
      <c r="B25" s="7" t="s">
        <v>2</v>
      </c>
      <c r="C25" s="37">
        <f>383796-C39</f>
        <v>329199</v>
      </c>
      <c r="D25" s="21"/>
      <c r="E25" s="22"/>
      <c r="F25" s="26"/>
      <c r="G25" s="21"/>
    </row>
    <row r="26" spans="2:7" ht="15.75">
      <c r="B26" s="7" t="s">
        <v>3</v>
      </c>
      <c r="C26" s="37">
        <f>14000-C38</f>
        <v>4800</v>
      </c>
      <c r="D26" s="21"/>
      <c r="E26" s="22"/>
      <c r="F26" s="22"/>
      <c r="G26" s="21"/>
    </row>
    <row r="27" spans="2:7" ht="15.75">
      <c r="B27" s="7" t="s">
        <v>4</v>
      </c>
      <c r="C27" s="37">
        <v>100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1500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2905471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61770</v>
      </c>
      <c r="D33" s="21"/>
      <c r="E33" s="21"/>
      <c r="F33" s="21"/>
      <c r="G33" s="21"/>
    </row>
    <row r="34" spans="2:7" ht="15.75">
      <c r="B34" s="7" t="s">
        <v>3</v>
      </c>
      <c r="C34" s="35">
        <v>742662</v>
      </c>
      <c r="D34" s="21"/>
      <c r="E34" s="21"/>
      <c r="F34" s="21"/>
      <c r="G34" s="21"/>
    </row>
    <row r="35" spans="2:7" ht="16.5" thickBot="1">
      <c r="B35" s="7" t="s">
        <v>4</v>
      </c>
      <c r="C35" s="35">
        <v>107270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911702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9200</v>
      </c>
      <c r="D38" s="21"/>
      <c r="E38" s="21"/>
      <c r="F38" s="22"/>
      <c r="G38" s="21"/>
    </row>
    <row r="39" spans="2:7" ht="16.5" thickBot="1">
      <c r="B39" s="20" t="s">
        <v>2</v>
      </c>
      <c r="C39" s="29">
        <v>54597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63797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447099</v>
      </c>
      <c r="E42" s="5"/>
      <c r="F42" s="21"/>
      <c r="G42" s="21"/>
    </row>
    <row r="43" spans="2:7" ht="16.5" thickBot="1">
      <c r="B43" s="10" t="s">
        <v>2</v>
      </c>
      <c r="C43" s="31">
        <v>666133</v>
      </c>
      <c r="E43" s="5"/>
      <c r="F43" s="21"/>
      <c r="G43" s="21"/>
    </row>
    <row r="44" spans="2:7" ht="16.5" thickBot="1">
      <c r="B44" s="10" t="s">
        <v>3</v>
      </c>
      <c r="C44" s="32">
        <v>884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811220</v>
      </c>
      <c r="E46" s="5"/>
      <c r="F46" s="21"/>
      <c r="G46" s="21"/>
    </row>
    <row r="47" spans="2:7" ht="16.5" thickBot="1">
      <c r="B47" s="1" t="s">
        <v>8</v>
      </c>
      <c r="C47" s="38">
        <f>SUM(C42:C46)</f>
        <v>1925336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57656667</v>
      </c>
      <c r="F50" s="22"/>
      <c r="G50" s="21"/>
    </row>
    <row r="51" spans="2:7" ht="15.75">
      <c r="B51" s="7" t="s">
        <v>3</v>
      </c>
      <c r="C51" s="35">
        <v>6600</v>
      </c>
      <c r="F51" s="21"/>
      <c r="G51" s="21"/>
    </row>
    <row r="52" spans="2:7" ht="16.5" thickBot="1">
      <c r="B52" s="10" t="s">
        <v>15</v>
      </c>
      <c r="C52" s="31">
        <v>161819</v>
      </c>
      <c r="F52" s="22"/>
      <c r="G52" s="21"/>
    </row>
    <row r="53" spans="2:7" ht="16.5" thickBot="1">
      <c r="B53" s="24" t="s">
        <v>8</v>
      </c>
      <c r="C53" s="44">
        <f>SUM(C50:C52)</f>
        <v>57825086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4630596</v>
      </c>
      <c r="F56" s="22"/>
      <c r="G56" s="21"/>
    </row>
    <row r="57" spans="2:7" ht="16.5" thickBot="1">
      <c r="B57" s="10" t="s">
        <v>15</v>
      </c>
      <c r="C57" s="31">
        <v>0</v>
      </c>
      <c r="F57" s="22"/>
      <c r="G57" s="21"/>
    </row>
    <row r="58" spans="2:7" ht="16.5" thickBot="1">
      <c r="B58" s="1" t="s">
        <v>8</v>
      </c>
      <c r="C58" s="38">
        <f>SUM(C56:C57)</f>
        <v>4630596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348+179057+16455+65036+1925+3726+519+561+295+310+3.021+6.702+11.27+56+6</f>
        <v>268314.993</v>
      </c>
      <c r="D61" s="21"/>
      <c r="E61" s="21"/>
      <c r="F61" s="21"/>
      <c r="G61" s="21"/>
    </row>
    <row r="62" spans="2:7" ht="15.75">
      <c r="B62" s="7" t="s">
        <v>2</v>
      </c>
      <c r="C62" s="40">
        <f>3+81+678+98+3+3+1.732</f>
        <v>867.732</v>
      </c>
      <c r="D62" s="21"/>
      <c r="E62" s="21"/>
      <c r="F62" s="21"/>
      <c r="G62" s="21"/>
    </row>
    <row r="63" spans="2:7" ht="15.75">
      <c r="B63" s="7" t="s">
        <v>3</v>
      </c>
      <c r="C63" s="40">
        <f>16+26+147+253+3+10</f>
        <v>455</v>
      </c>
      <c r="D63" s="21"/>
      <c r="E63" s="21"/>
      <c r="F63" s="21"/>
      <c r="G63" s="21"/>
    </row>
    <row r="64" spans="2:7" ht="15.75">
      <c r="B64" s="7" t="s">
        <v>4</v>
      </c>
      <c r="C64" s="40">
        <f>8+3</f>
        <v>11</v>
      </c>
      <c r="D64" s="21"/>
      <c r="E64" s="21"/>
      <c r="F64" s="21"/>
      <c r="G64" s="21"/>
    </row>
    <row r="65" spans="2:7" ht="15.75">
      <c r="B65" s="7" t="s">
        <v>15</v>
      </c>
      <c r="C65" s="40">
        <f>220+1171</f>
        <v>1391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271039.72500000003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43">
      <selection activeCell="C61" sqref="C61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34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215000343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1166111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825830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117267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973961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1500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218085012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v>133401433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153685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133555118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2843878</v>
      </c>
      <c r="D24" s="21"/>
      <c r="E24" s="22"/>
      <c r="F24" s="22"/>
      <c r="G24" s="21"/>
    </row>
    <row r="25" spans="2:7" ht="15.75">
      <c r="B25" s="7" t="s">
        <v>2</v>
      </c>
      <c r="C25" s="37">
        <f>331560-C39</f>
        <v>284132</v>
      </c>
      <c r="D25" s="21"/>
      <c r="E25" s="22"/>
      <c r="F25" s="26"/>
      <c r="G25" s="21"/>
    </row>
    <row r="26" spans="2:7" ht="15.75">
      <c r="B26" s="7" t="s">
        <v>3</v>
      </c>
      <c r="C26" s="37">
        <f>9520-C38</f>
        <v>4320</v>
      </c>
      <c r="D26" s="21"/>
      <c r="E26" s="22"/>
      <c r="F26" s="22"/>
      <c r="G26" s="21"/>
    </row>
    <row r="27" spans="2:7" ht="15.75">
      <c r="B27" s="7" t="s">
        <v>4</v>
      </c>
      <c r="C27" s="37">
        <v>20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1500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3133850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54777</v>
      </c>
      <c r="D33" s="21"/>
      <c r="E33" s="21"/>
      <c r="F33" s="21"/>
      <c r="G33" s="21"/>
    </row>
    <row r="34" spans="2:7" ht="15.75">
      <c r="B34" s="7" t="s">
        <v>3</v>
      </c>
      <c r="C34" s="35">
        <v>812951</v>
      </c>
      <c r="D34" s="21"/>
      <c r="E34" s="21"/>
      <c r="F34" s="21"/>
      <c r="G34" s="21"/>
    </row>
    <row r="35" spans="2:7" ht="16.5" thickBot="1">
      <c r="B35" s="7" t="s">
        <v>4</v>
      </c>
      <c r="C35" s="35">
        <v>117247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984975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5200</v>
      </c>
      <c r="D38" s="21"/>
      <c r="E38" s="21"/>
      <c r="F38" s="22"/>
      <c r="G38" s="21"/>
    </row>
    <row r="39" spans="2:7" ht="16.5" thickBot="1">
      <c r="B39" s="20" t="s">
        <v>2</v>
      </c>
      <c r="C39" s="29">
        <v>47428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52628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447590</v>
      </c>
      <c r="E42" s="5"/>
      <c r="F42" s="21"/>
      <c r="G42" s="21"/>
    </row>
    <row r="43" spans="2:7" ht="16.5" thickBot="1">
      <c r="B43" s="10" t="s">
        <v>2</v>
      </c>
      <c r="C43" s="31">
        <v>626089</v>
      </c>
      <c r="E43" s="5"/>
      <c r="F43" s="21"/>
      <c r="G43" s="21"/>
    </row>
    <row r="44" spans="2:7" ht="16.5" thickBot="1">
      <c r="B44" s="10" t="s">
        <v>3</v>
      </c>
      <c r="C44" s="32">
        <v>239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812078</v>
      </c>
      <c r="E46" s="5"/>
      <c r="F46" s="21"/>
      <c r="G46" s="21"/>
    </row>
    <row r="47" spans="2:7" ht="16.5" thickBot="1">
      <c r="B47" s="1" t="s">
        <v>8</v>
      </c>
      <c r="C47" s="38">
        <f>SUM(C42:C46)</f>
        <v>1885996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74984977</v>
      </c>
      <c r="F50" s="22"/>
      <c r="G50" s="21"/>
    </row>
    <row r="51" spans="2:7" ht="15.75">
      <c r="B51" s="7" t="s">
        <v>3</v>
      </c>
      <c r="C51" s="35">
        <v>3120</v>
      </c>
      <c r="F51" s="21"/>
      <c r="G51" s="21"/>
    </row>
    <row r="52" spans="2:7" ht="16.5" thickBot="1">
      <c r="B52" s="10" t="s">
        <v>15</v>
      </c>
      <c r="C52" s="31">
        <v>161883</v>
      </c>
      <c r="F52" s="22"/>
      <c r="G52" s="21"/>
    </row>
    <row r="53" spans="2:7" ht="16.5" thickBot="1">
      <c r="B53" s="24" t="s">
        <v>8</v>
      </c>
      <c r="C53" s="44">
        <f>SUM(C50:C52)</f>
        <v>75149980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3322465</v>
      </c>
      <c r="F56" s="22"/>
      <c r="G56" s="21"/>
    </row>
    <row r="57" spans="2:7" ht="16.5" thickBot="1">
      <c r="B57" s="10" t="s">
        <v>15</v>
      </c>
      <c r="C57" s="31">
        <v>0</v>
      </c>
      <c r="F57" s="22"/>
      <c r="G57" s="21"/>
    </row>
    <row r="58" spans="2:7" ht="16.5" thickBot="1">
      <c r="B58" s="1" t="s">
        <v>8</v>
      </c>
      <c r="C58" s="38">
        <f>SUM(C56:C57)</f>
        <v>3322465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84150+1294+3372+307+551+39+6+520+224+11.828+3.051+8.713+314+179837+15290</f>
        <v>285927.592</v>
      </c>
      <c r="D61" s="21"/>
      <c r="E61" s="21"/>
      <c r="F61" s="21"/>
      <c r="G61" s="21"/>
    </row>
    <row r="62" spans="2:7" ht="15.75">
      <c r="B62" s="7" t="s">
        <v>2</v>
      </c>
      <c r="C62" s="40">
        <f>71+668+82+3+3+207</f>
        <v>1034</v>
      </c>
      <c r="D62" s="21"/>
      <c r="E62" s="21"/>
      <c r="F62" s="21"/>
      <c r="G62" s="21"/>
    </row>
    <row r="63" spans="2:7" ht="15.75">
      <c r="B63" s="7" t="s">
        <v>3</v>
      </c>
      <c r="C63" s="40">
        <f>17+162+148+10+3+20</f>
        <v>360</v>
      </c>
      <c r="D63" s="21"/>
      <c r="E63" s="21"/>
      <c r="F63" s="21"/>
      <c r="G63" s="21"/>
    </row>
    <row r="64" spans="2:7" ht="15.75">
      <c r="B64" s="7" t="s">
        <v>4</v>
      </c>
      <c r="C64" s="40">
        <f>3+8</f>
        <v>11</v>
      </c>
      <c r="D64" s="21"/>
      <c r="E64" s="21"/>
      <c r="F64" s="21"/>
      <c r="G64" s="21"/>
    </row>
    <row r="65" spans="2:7" ht="15.75">
      <c r="B65" s="7" t="s">
        <v>15</v>
      </c>
      <c r="C65" s="40">
        <f>1113+213</f>
        <v>1326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288658.592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46">
      <selection activeCell="E67" sqref="E67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35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222212352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1449636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644490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109546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2845361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1500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227262885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v>136330073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306821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136636894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2597070</v>
      </c>
      <c r="D24" s="21"/>
      <c r="E24" s="22"/>
      <c r="F24" s="22"/>
      <c r="G24" s="21"/>
    </row>
    <row r="25" spans="2:7" ht="15.75">
      <c r="B25" s="7" t="s">
        <v>2</v>
      </c>
      <c r="C25" s="37">
        <f>464749-C39</f>
        <v>416416</v>
      </c>
      <c r="D25" s="21"/>
      <c r="E25" s="22"/>
      <c r="F25" s="26"/>
      <c r="G25" s="21"/>
    </row>
    <row r="26" spans="2:7" ht="15.75">
      <c r="B26" s="7" t="s">
        <v>3</v>
      </c>
      <c r="C26" s="37">
        <f>11840-C38</f>
        <v>6600</v>
      </c>
      <c r="D26" s="21"/>
      <c r="E26" s="22"/>
      <c r="F26" s="22"/>
      <c r="G26" s="21"/>
    </row>
    <row r="27" spans="2:7" ht="15.75">
      <c r="B27" s="7" t="s">
        <v>4</v>
      </c>
      <c r="C27" s="37">
        <v>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1500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3021586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58537</v>
      </c>
      <c r="D33" s="21"/>
      <c r="E33" s="21"/>
      <c r="F33" s="21"/>
      <c r="G33" s="21"/>
    </row>
    <row r="34" spans="2:7" ht="15.75">
      <c r="B34" s="7" t="s">
        <v>3</v>
      </c>
      <c r="C34" s="35">
        <v>629239</v>
      </c>
      <c r="D34" s="21"/>
      <c r="E34" s="21"/>
      <c r="F34" s="21"/>
      <c r="G34" s="21"/>
    </row>
    <row r="35" spans="2:7" ht="16.5" thickBot="1">
      <c r="B35" s="7" t="s">
        <v>4</v>
      </c>
      <c r="C35" s="35">
        <v>109546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797322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5240</v>
      </c>
      <c r="D38" s="21"/>
      <c r="E38" s="21"/>
      <c r="F38" s="22"/>
      <c r="G38" s="21"/>
    </row>
    <row r="39" spans="2:7" ht="16.5" thickBot="1">
      <c r="B39" s="20" t="s">
        <v>2</v>
      </c>
      <c r="C39" s="29">
        <v>48333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53573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527489</v>
      </c>
      <c r="E42" s="5"/>
      <c r="F42" s="21"/>
      <c r="G42" s="21"/>
    </row>
    <row r="43" spans="2:7" ht="16.5" thickBot="1">
      <c r="B43" s="10" t="s">
        <v>2</v>
      </c>
      <c r="C43" s="31">
        <v>619529</v>
      </c>
      <c r="E43" s="5"/>
      <c r="F43" s="21"/>
      <c r="G43" s="21"/>
    </row>
    <row r="44" spans="2:7" ht="16.5" thickBot="1">
      <c r="B44" s="10" t="s">
        <v>3</v>
      </c>
      <c r="C44" s="32">
        <v>271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818903</v>
      </c>
      <c r="E46" s="5"/>
      <c r="F46" s="21"/>
      <c r="G46" s="21"/>
    </row>
    <row r="47" spans="2:7" ht="16.5" thickBot="1">
      <c r="B47" s="1" t="s">
        <v>8</v>
      </c>
      <c r="C47" s="38">
        <f>SUM(C42:C46)</f>
        <v>1966192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78027488</v>
      </c>
      <c r="F50" s="22"/>
      <c r="G50" s="21"/>
    </row>
    <row r="51" spans="2:7" ht="15.75">
      <c r="B51" s="7" t="s">
        <v>3</v>
      </c>
      <c r="C51" s="35">
        <v>3140</v>
      </c>
      <c r="F51" s="21"/>
      <c r="G51" s="21"/>
    </row>
    <row r="52" spans="2:7" ht="16.5" thickBot="1">
      <c r="B52" s="10" t="s">
        <v>15</v>
      </c>
      <c r="C52" s="31">
        <v>158550</v>
      </c>
      <c r="F52" s="22"/>
      <c r="G52" s="21"/>
    </row>
    <row r="53" spans="2:7" ht="16.5" thickBot="1">
      <c r="B53" s="24" t="s">
        <v>8</v>
      </c>
      <c r="C53" s="44">
        <f>SUM(C50:C52)</f>
        <v>78189178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4730232</v>
      </c>
      <c r="F56" s="22"/>
      <c r="G56" s="21"/>
    </row>
    <row r="57" spans="2:7" ht="16.5" thickBot="1">
      <c r="B57" s="10" t="s">
        <v>15</v>
      </c>
      <c r="C57" s="31">
        <v>1867908</v>
      </c>
      <c r="F57" s="22"/>
      <c r="G57" s="21"/>
    </row>
    <row r="58" spans="2:7" ht="16.5" thickBot="1">
      <c r="B58" s="1" t="s">
        <v>8</v>
      </c>
      <c r="C58" s="38">
        <f>SUM(C56:C57)</f>
        <v>6598140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184027+87977+16460+2325+4684+488+603+286+42+366+6+11.894+8.085+2.798+389</f>
        <v>297675.777</v>
      </c>
      <c r="D61" s="21"/>
      <c r="E61" s="21"/>
      <c r="F61" s="21"/>
      <c r="G61" s="21"/>
    </row>
    <row r="62" spans="2:7" ht="15.75">
      <c r="B62" s="7" t="s">
        <v>2</v>
      </c>
      <c r="C62" s="40">
        <f>415+76+668+89+3+3</f>
        <v>1254</v>
      </c>
      <c r="D62" s="21"/>
      <c r="E62" s="21"/>
      <c r="F62" s="21"/>
      <c r="G62" s="21"/>
    </row>
    <row r="63" spans="2:7" ht="15.75">
      <c r="B63" s="7" t="s">
        <v>3</v>
      </c>
      <c r="C63" s="40">
        <f>21+148+119+9+3+21</f>
        <v>321</v>
      </c>
      <c r="D63" s="21"/>
      <c r="E63" s="21"/>
      <c r="F63" s="21"/>
      <c r="G63" s="21"/>
    </row>
    <row r="64" spans="2:7" ht="15.75">
      <c r="B64" s="7" t="s">
        <v>4</v>
      </c>
      <c r="C64" s="40">
        <f>3+8</f>
        <v>11</v>
      </c>
      <c r="D64" s="21"/>
      <c r="E64" s="21"/>
      <c r="F64" s="21"/>
      <c r="G64" s="21"/>
    </row>
    <row r="65" spans="2:7" ht="15.75">
      <c r="B65" s="7" t="s">
        <v>15</v>
      </c>
      <c r="C65" s="40">
        <f>202+2596+1151</f>
        <v>3949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303210.777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8" t="s">
        <v>19</v>
      </c>
      <c r="B2" s="58"/>
      <c r="C2" s="58"/>
      <c r="D2" s="58"/>
      <c r="E2" s="58"/>
    </row>
    <row r="3" spans="2:4" ht="16.5" thickBot="1">
      <c r="B3" s="3"/>
      <c r="C3" s="14"/>
      <c r="D3" s="4"/>
    </row>
    <row r="4" spans="2:3" ht="12.75" customHeight="1">
      <c r="B4" s="59" t="s">
        <v>6</v>
      </c>
      <c r="C4" s="61" t="s">
        <v>7</v>
      </c>
    </row>
    <row r="5" spans="2:3" ht="16.5" thickBot="1">
      <c r="B5" s="60"/>
      <c r="C5" s="62"/>
    </row>
    <row r="6" spans="2:7" ht="15.75">
      <c r="B6" s="11" t="s">
        <v>36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218148436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1678363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816306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125963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1021223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9900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221800191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v>133417982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474476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133892458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2281964</v>
      </c>
      <c r="D24" s="21"/>
      <c r="E24" s="22"/>
      <c r="F24" s="22"/>
      <c r="G24" s="21"/>
    </row>
    <row r="25" spans="2:7" ht="15.75">
      <c r="B25" s="7" t="s">
        <v>2</v>
      </c>
      <c r="C25" s="37">
        <f>467412-C39</f>
        <v>403008</v>
      </c>
      <c r="D25" s="21"/>
      <c r="E25" s="22"/>
      <c r="F25" s="26"/>
      <c r="G25" s="21"/>
    </row>
    <row r="26" spans="2:7" ht="15.75">
      <c r="B26" s="7" t="s">
        <v>3</v>
      </c>
      <c r="C26" s="37">
        <f>14480-C38</f>
        <v>7440</v>
      </c>
      <c r="D26" s="21"/>
      <c r="E26" s="22"/>
      <c r="F26" s="22"/>
      <c r="G26" s="21"/>
    </row>
    <row r="27" spans="2:7" ht="15.75">
      <c r="B27" s="7" t="s">
        <v>4</v>
      </c>
      <c r="C27" s="37">
        <v>300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9900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2702612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74177</v>
      </c>
      <c r="D33" s="21"/>
      <c r="E33" s="21"/>
      <c r="F33" s="21"/>
      <c r="G33" s="21"/>
    </row>
    <row r="34" spans="2:7" ht="15.75">
      <c r="B34" s="7" t="s">
        <v>3</v>
      </c>
      <c r="C34" s="35">
        <v>797429</v>
      </c>
      <c r="D34" s="21"/>
      <c r="E34" s="21"/>
      <c r="F34" s="21"/>
      <c r="G34" s="21"/>
    </row>
    <row r="35" spans="2:7" ht="16.5" thickBot="1">
      <c r="B35" s="7" t="s">
        <v>4</v>
      </c>
      <c r="C35" s="35">
        <v>125663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997269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7040</v>
      </c>
      <c r="D38" s="21"/>
      <c r="E38" s="21"/>
      <c r="F38" s="22"/>
      <c r="G38" s="21"/>
    </row>
    <row r="39" spans="2:7" ht="16.5" thickBot="1">
      <c r="B39" s="20" t="s">
        <v>2</v>
      </c>
      <c r="C39" s="29">
        <v>64404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71444</v>
      </c>
      <c r="D40" s="21"/>
      <c r="E40" s="21"/>
      <c r="F40" s="22"/>
      <c r="G40" s="21"/>
    </row>
    <row r="41" spans="2:7" ht="16.5" thickBot="1">
      <c r="B41" s="63" t="s">
        <v>23</v>
      </c>
      <c r="C41" s="63"/>
      <c r="D41" s="63"/>
      <c r="E41" s="63"/>
      <c r="F41" s="22"/>
      <c r="G41" s="21"/>
    </row>
    <row r="42" spans="2:7" ht="16.5" thickBot="1">
      <c r="B42" s="18" t="s">
        <v>1</v>
      </c>
      <c r="C42" s="30">
        <v>716173</v>
      </c>
      <c r="E42" s="5"/>
      <c r="F42" s="21"/>
      <c r="G42" s="21"/>
    </row>
    <row r="43" spans="2:7" ht="16.5" thickBot="1">
      <c r="B43" s="10" t="s">
        <v>2</v>
      </c>
      <c r="C43" s="31">
        <v>662298</v>
      </c>
      <c r="E43" s="5"/>
      <c r="F43" s="21"/>
      <c r="G43" s="21"/>
    </row>
    <row r="44" spans="2:7" ht="16.5" thickBot="1">
      <c r="B44" s="10" t="s">
        <v>3</v>
      </c>
      <c r="C44" s="32">
        <v>617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809184</v>
      </c>
      <c r="E46" s="5"/>
      <c r="F46" s="21"/>
      <c r="G46" s="21"/>
    </row>
    <row r="47" spans="2:7" ht="16.5" thickBot="1">
      <c r="B47" s="1" t="s">
        <v>8</v>
      </c>
      <c r="C47" s="38">
        <f>SUM(C42:C46)</f>
        <v>2188272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63" t="s">
        <v>24</v>
      </c>
      <c r="C49" s="63"/>
      <c r="D49" s="63"/>
      <c r="E49" s="63"/>
      <c r="F49" s="22"/>
      <c r="G49" s="21"/>
    </row>
    <row r="50" spans="2:7" ht="15.75">
      <c r="B50" s="6" t="s">
        <v>1</v>
      </c>
      <c r="C50" s="28">
        <v>74098359</v>
      </c>
      <c r="F50" s="22"/>
      <c r="G50" s="21"/>
    </row>
    <row r="51" spans="2:7" ht="15.75">
      <c r="B51" s="7" t="s">
        <v>3</v>
      </c>
      <c r="C51" s="35">
        <v>3780</v>
      </c>
      <c r="F51" s="21"/>
      <c r="G51" s="21"/>
    </row>
    <row r="52" spans="2:7" ht="16.5" thickBot="1">
      <c r="B52" s="10" t="s">
        <v>15</v>
      </c>
      <c r="C52" s="31">
        <v>133703</v>
      </c>
      <c r="F52" s="22"/>
      <c r="G52" s="21"/>
    </row>
    <row r="53" spans="2:7" ht="16.5" thickBot="1">
      <c r="B53" s="24" t="s">
        <v>8</v>
      </c>
      <c r="C53" s="44">
        <f>SUM(C50:C52)</f>
        <v>74235842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63" t="s">
        <v>27</v>
      </c>
      <c r="C55" s="63"/>
      <c r="D55" s="63"/>
      <c r="E55" s="63"/>
      <c r="F55" s="22"/>
      <c r="G55" s="21"/>
    </row>
    <row r="56" spans="2:7" ht="16.5" thickBot="1">
      <c r="B56" s="18" t="s">
        <v>1</v>
      </c>
      <c r="C56" s="30">
        <v>7633958</v>
      </c>
      <c r="F56" s="22"/>
      <c r="G56" s="21"/>
    </row>
    <row r="57" spans="2:7" ht="16.5" thickBot="1">
      <c r="B57" s="10" t="s">
        <v>15</v>
      </c>
      <c r="C57" s="31">
        <v>78336</v>
      </c>
      <c r="F57" s="22"/>
      <c r="G57" s="21"/>
    </row>
    <row r="58" spans="2:7" ht="16.5" thickBot="1">
      <c r="B58" s="1" t="s">
        <v>8</v>
      </c>
      <c r="C58" s="38">
        <f>SUM(C56:C57)</f>
        <v>7712294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183330+4763+92708+4597+13088+45+304+6+489+304+417+2.923+7.884+10.615+667</f>
        <v>300739.422</v>
      </c>
      <c r="D61" s="21"/>
      <c r="E61" s="21"/>
      <c r="F61" s="21"/>
      <c r="G61" s="21"/>
    </row>
    <row r="62" spans="2:7" ht="15.75">
      <c r="B62" s="7" t="s">
        <v>2</v>
      </c>
      <c r="C62" s="40">
        <f>654+127+87+671+3+3</f>
        <v>1545</v>
      </c>
      <c r="D62" s="21"/>
      <c r="E62" s="21"/>
      <c r="F62" s="21"/>
      <c r="G62" s="21"/>
    </row>
    <row r="63" spans="2:7" ht="15.75">
      <c r="B63" s="7" t="s">
        <v>3</v>
      </c>
      <c r="C63" s="40">
        <f>26+178+182+3+8+46</f>
        <v>443</v>
      </c>
      <c r="D63" s="21"/>
      <c r="E63" s="21"/>
      <c r="F63" s="21"/>
      <c r="G63" s="21"/>
    </row>
    <row r="64" spans="2:7" ht="15.75">
      <c r="B64" s="7" t="s">
        <v>4</v>
      </c>
      <c r="C64" s="40">
        <f>8+2+18</f>
        <v>28</v>
      </c>
      <c r="D64" s="21"/>
      <c r="E64" s="21"/>
      <c r="F64" s="21"/>
      <c r="G64" s="21"/>
    </row>
    <row r="65" spans="2:7" ht="15.75">
      <c r="B65" s="7" t="s">
        <v>15</v>
      </c>
      <c r="C65" s="40">
        <f>263+194+1149</f>
        <v>1606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304361.422</v>
      </c>
      <c r="D67" s="21"/>
      <c r="E67" s="22"/>
      <c r="F67" s="22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EASKCENTR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Ларионова Елена</dc:creator>
  <cp:keywords/>
  <dc:description/>
  <cp:lastModifiedBy>Хлыстова Анна Сергеевна</cp:lastModifiedBy>
  <cp:lastPrinted>2016-09-14T09:56:00Z</cp:lastPrinted>
  <dcterms:created xsi:type="dcterms:W3CDTF">2011-05-20T10:40:08Z</dcterms:created>
  <dcterms:modified xsi:type="dcterms:W3CDTF">2024-02-07T07:47:13Z</dcterms:modified>
  <cp:category/>
  <cp:version/>
  <cp:contentType/>
  <cp:contentStatus/>
</cp:coreProperties>
</file>